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  <sheet xmlns:r="http://schemas.openxmlformats.org/officeDocument/2006/relationships" name="Basiszins" sheetId="3" state="visible" r:id="rId3"/>
    <sheet xmlns:r="http://schemas.openxmlformats.org/officeDocument/2006/relationships" name="Tage" sheetId="4" state="hidden" r:id="rId4"/>
  </sheets>
  <definedNames>
    <definedName name="_xlnm.Print_Area" localSheetId="1">'Rechner'!$A$1:$F$42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€&quot;"/>
  </numFmts>
  <fonts count="11">
    <font>
      <name val="Calibri"/>
      <family val="2"/>
      <color theme="1"/>
      <sz val="11"/>
      <scheme val="minor"/>
    </font>
    <font>
      <name val="Arial"/>
      <b val="1"/>
      <color rgb="00800020"/>
      <sz val="13"/>
    </font>
    <font>
      <name val="Arial"/>
      <color rgb="002A2320"/>
      <sz val="10"/>
    </font>
    <font>
      <name val="Arial"/>
      <b val="1"/>
      <color rgb="002A2320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800020"/>
      <sz val="14"/>
    </font>
    <font>
      <name val="Arial"/>
      <color rgb="005E4D43"/>
      <sz val="9"/>
    </font>
    <font>
      <name val="Arial"/>
      <b val="1"/>
      <sz val="10"/>
    </font>
    <font>
      <name val="Arial"/>
      <b val="1"/>
      <sz val="12"/>
    </font>
    <font>
      <name val="Arial"/>
      <color rgb="005E4D43"/>
      <sz val="8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2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6" fontId="4" fillId="3" borderId="1" applyProtection="1" pivotButton="0" quotePrefix="0" xfId="0">
      <protection locked="0" hidden="0"/>
    </xf>
    <xf numFmtId="0" fontId="4" fillId="0" borderId="0" pivotButton="0" quotePrefix="0" xfId="0"/>
    <xf numFmtId="0" fontId="8" fillId="0" borderId="1" pivotButton="0" quotePrefix="0" xfId="0"/>
    <xf numFmtId="165" fontId="4" fillId="3" borderId="1" applyProtection="1" pivotButton="0" quotePrefix="0" xfId="0">
      <protection locked="0" hidden="0"/>
    </xf>
    <xf numFmtId="165" fontId="4" fillId="0" borderId="1" pivotButton="0" quotePrefix="0" xfId="0"/>
    <xf numFmtId="1" fontId="4" fillId="0" borderId="1" pivotButton="0" quotePrefix="0" xfId="0"/>
    <xf numFmtId="0" fontId="4" fillId="3" borderId="1" applyProtection="1" pivotButton="0" quotePrefix="0" xfId="0">
      <protection locked="0" hidden="0"/>
    </xf>
    <xf numFmtId="166" fontId="4" fillId="0" borderId="1" pivotButton="0" quotePrefix="0" xfId="0"/>
    <xf numFmtId="0" fontId="5" fillId="2" borderId="0" pivotButton="0" quotePrefix="0" xfId="0"/>
    <xf numFmtId="166" fontId="9" fillId="4" borderId="1" pivotButton="0" quotePrefix="0" xfId="0"/>
    <xf numFmtId="2" fontId="4" fillId="0" borderId="1" pivotButton="0" quotePrefix="0" xfId="0"/>
    <xf numFmtId="0" fontId="4" fillId="0" borderId="1" pivotButton="0" quotePrefix="0" xfId="0"/>
    <xf numFmtId="0" fontId="1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4">
    <dxf>
      <font>
        <color rgb="00B9ADA2"/>
      </font>
    </dxf>
    <dxf>
      <font>
        <b val="1"/>
        <color rgb="001F7A3A"/>
      </font>
      <fill>
        <patternFill patternType="solid">
          <fgColor rgb="00DCEFE2"/>
        </patternFill>
      </fill>
    </dxf>
    <dxf>
      <font>
        <b val="1"/>
        <color rgb="00B3261E"/>
      </font>
      <fill>
        <patternFill patternType="solid">
          <fgColor rgb="00FBE3E1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Verzugszinsrechner: So geht's</t>
        </is>
      </c>
    </row>
    <row r="2">
      <c r="A2" s="2" t="inlineStr">
        <is>
          <t>Verheyden Tech, verheyden-tech.de, Stand 09/2026. Muster für Rechtsanwältinnen und Rechtsanwälte, Prüfung im Einzelfall bleibt beim Anwender.</t>
        </is>
      </c>
    </row>
    <row r="3">
      <c r="A3" s="2" t="inlineStr"/>
    </row>
    <row r="4">
      <c r="A4" s="2" t="inlineStr">
        <is>
          <t>1. Blatt Rechner: beige Felder ausfüllen. Hauptforderung, Tag des Verzugseintritts, Stichtag (Zinsen bis einschließlich).</t>
        </is>
      </c>
    </row>
    <row r="5">
      <c r="A5" s="2" t="inlineStr">
        <is>
          <t>2. Zinssatz wählen: 9 Prozentpunkte über Basiszins bei Entgeltforderungen ohne Verbraucherbeteiligung (§ 288 Abs. 2 BGB), sonst 5 Prozentpunkte (§ 288 Abs. 1 BGB).</t>
        </is>
      </c>
    </row>
    <row r="6">
      <c r="A6" s="2" t="inlineStr">
        <is>
          <t>3. Pauschale 40 Euro (§ 288 Abs. 5 BGB) nur bei Entgeltforderung und Schuldner, der kein Verbraucher ist.</t>
        </is>
      </c>
    </row>
    <row r="7">
      <c r="A7" s="2" t="inlineStr">
        <is>
          <t>4. Teilzahlungen mit Datum eintragen (bis 10). Anrechnung zuerst auf Zinsen, dann auf die Hauptforderung (§ 367 Abs. 1 BGB). Kosten sind nicht erfasst.</t>
        </is>
      </c>
    </row>
    <row r="8">
      <c r="A8" s="2" t="inlineStr">
        <is>
          <t>5. Ergebnis rechts lesen, Zinsen je Halbjahr unten. Das Feld Prüfung muss "ok" zeigen.</t>
        </is>
      </c>
    </row>
    <row r="9">
      <c r="A9" s="2" t="inlineStr"/>
    </row>
    <row r="10">
      <c r="A10" s="3" t="inlineStr">
        <is>
          <t>Rechenweg</t>
        </is>
      </c>
    </row>
    <row r="11">
      <c r="A11" s="2" t="inlineStr">
        <is>
          <t>Zinsen ab dem Tag nach Verzugseintritt (§ 187 Abs. 1 BGB entsprechend) bis einschließlich Stichtag, taggenau.</t>
        </is>
      </c>
    </row>
    <row r="12">
      <c r="A12" s="2" t="inlineStr">
        <is>
          <t>Zins eines Tages = Kapital x (Basiszins + 5 oder 9) / 100 / Tage des Kalenderjahres (365 oder 366).</t>
        </is>
      </c>
    </row>
    <row r="13">
      <c r="A13" s="2" t="inlineStr">
        <is>
          <t>Eine Teilzahlung wirkt ab dem Folgetag: Am Zahlungstag wird noch der alte Betrag verzinst. Keine Zinsen auf Zinsen (§ 289 BGB).</t>
        </is>
      </c>
    </row>
    <row r="14">
      <c r="A14" s="2" t="inlineStr">
        <is>
          <t>Die Berechnung Tag für Tag steht im ausgeblendeten Blatt Tage (Rechtsklick auf einen Blattnamen, Einblenden), die Basiszinssätze im Blatt Basiszins.</t>
        </is>
      </c>
    </row>
    <row r="15">
      <c r="A15" s="2" t="inlineStr"/>
    </row>
    <row r="16">
      <c r="A16" s="3" t="inlineStr">
        <is>
          <t>Grenzen</t>
        </is>
      </c>
    </row>
    <row r="17">
      <c r="A17" s="2" t="inlineStr">
        <is>
          <t>Basiszinssätze vom 01.01.2020 bis 31.12.2026 hinterlegt. Ab 01.01.2027 neue Fassung der Datei von verheyden-tech.de laden.</t>
        </is>
      </c>
    </row>
    <row r="18">
      <c r="A18" s="2" t="inlineStr">
        <is>
          <t>Vertragliche Zinsen, höhere Zinsen aus anderem Rechtsgrund (§ 288 Abs. 3 BGB) und Kosten der Rechtsverfolgung berechnet die Datei nicht.</t>
        </is>
      </c>
    </row>
    <row r="19">
      <c r="A19" s="2" t="inlineStr">
        <is>
          <t>Ob und seit wann Verzug besteht (§ 286 BGB), prüfen Sie im Einzelfall. Die Datei rechnet nur.</t>
        </is>
      </c>
    </row>
    <row r="20">
      <c r="A20" s="2" t="inlineStr"/>
    </row>
    <row r="21">
      <c r="A21" s="2" t="inlineStr">
        <is>
          <t>Quelle Basiszins: Deutsche Bundesbank, https://www.bundesbank.de/de/bundesbank/organisation/agb-und-regelungen/basiszinssatz-607820, abgerufen 23.09.2026.</t>
        </is>
      </c>
    </row>
    <row r="22">
      <c r="A22" s="3" t="inlineStr">
        <is>
          <t>Frage zum Schluss: Wie viele Zahlungseingänge ordnet Ihr Büro jede Woche von Hand einer Akte zu?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2" customWidth="1" min="3" max="3"/>
    <col width="44" customWidth="1" min="4" max="4"/>
    <col width="22" customWidth="1" min="5" max="5"/>
    <col width="14" customWidth="1" min="6" max="6"/>
  </cols>
  <sheetData>
    <row r="1">
      <c r="A1" s="4" t="inlineStr">
        <is>
          <t>Verzugszinsrechner nach § 288 BGB</t>
        </is>
      </c>
    </row>
    <row r="2">
      <c r="A2" s="5" t="inlineStr">
        <is>
          <t>Beige Felder ausfüllen, Rest rechnet. Stand 09/2026, verheyden-tech.de</t>
        </is>
      </c>
    </row>
    <row r="4">
      <c r="A4" s="6" t="inlineStr">
        <is>
          <t>Hauptforderung in Euro</t>
        </is>
      </c>
      <c r="B4" s="7" t="n">
        <v>12500</v>
      </c>
      <c r="D4" s="8" t="inlineStr">
        <is>
          <t>Prüfung</t>
        </is>
      </c>
      <c r="E4" s="9">
        <f>IF(OR(B4="",B5="",B6=""),"Bitte Hauptforderung, Verzugsbeginn und Stichtag eintragen",IF(B5&lt;DATE(2019,12,31),"Verzugsbeginn vor 31.12.2019: nicht hinterlegt",IF(B6&gt;DATE(2026,12,31),"Stichtag nach 31.12.2026: neue Fassung laden",IF(B6&lt;B5+1,"Stichtag liegt vor dem ersten Zinstag","ok"))))</f>
        <v/>
      </c>
    </row>
    <row r="5">
      <c r="A5" s="6" t="inlineStr">
        <is>
          <t>Verzugsbeginn (Tag des Verzugseintritts)</t>
        </is>
      </c>
      <c r="B5" s="10" t="n">
        <v>45976</v>
      </c>
      <c r="D5" s="8" t="inlineStr">
        <is>
          <t>Erster Zinstag</t>
        </is>
      </c>
      <c r="E5" s="11">
        <f>IF(B5="","",B5+1)</f>
        <v/>
      </c>
    </row>
    <row r="6">
      <c r="A6" s="6" t="inlineStr">
        <is>
          <t>Zinsen bis einschließlich (Stichtag)</t>
        </is>
      </c>
      <c r="B6" s="10" t="n">
        <v>46295</v>
      </c>
      <c r="D6" s="8" t="inlineStr">
        <is>
          <t>Zinstage</t>
        </is>
      </c>
      <c r="E6" s="12">
        <f>IF(E4="ok",B6-E5+1,0)</f>
        <v/>
      </c>
    </row>
    <row r="7">
      <c r="A7" s="6" t="inlineStr">
        <is>
          <t>Zinssatz über Basiszins</t>
        </is>
      </c>
      <c r="B7" s="13" t="inlineStr">
        <is>
          <t>9 Prozentpunkte</t>
        </is>
      </c>
      <c r="D7" s="8" t="inlineStr">
        <is>
          <t>Aufschlag in Prozentpunkten</t>
        </is>
      </c>
      <c r="E7" s="12">
        <f>IF(LEFT(B7,1)="9",9,5)</f>
        <v/>
      </c>
    </row>
    <row r="8">
      <c r="A8" s="6" t="inlineStr">
        <is>
          <t>Pauschale 40 Euro (§ 288 Abs. 5 BGB)</t>
        </is>
      </c>
      <c r="B8" s="13" t="inlineStr">
        <is>
          <t>ja</t>
        </is>
      </c>
      <c r="D8" s="8" t="inlineStr">
        <is>
          <t>Hauptforderung nach Zahlungen vor erstem Zinstag</t>
        </is>
      </c>
      <c r="E8" s="14">
        <f>IF(E4="ok",B4-SUMIF(A12:A21,"&lt;"&amp;E5,B12:B21),B4)</f>
        <v/>
      </c>
    </row>
    <row r="9">
      <c r="D9" s="8" t="inlineStr">
        <is>
          <t>Zinsen insgesamt</t>
        </is>
      </c>
      <c r="E9" s="14">
        <f>IF(E4="ok",SUM(Tage!E2:E2558),0)</f>
        <v/>
      </c>
    </row>
    <row r="10">
      <c r="A10" s="6" t="inlineStr">
        <is>
          <t>Teilzahlungen (zuerst auf Zinsen, dann auf die Hauptforderung)</t>
        </is>
      </c>
      <c r="D10" s="8" t="inlineStr">
        <is>
          <t>davon durch Zahlungen getilgt</t>
        </is>
      </c>
      <c r="E10" s="14">
        <f>E9-E11</f>
        <v/>
      </c>
    </row>
    <row r="11">
      <c r="A11" s="15" t="inlineStr">
        <is>
          <t>Datum</t>
        </is>
      </c>
      <c r="B11" s="15" t="inlineStr">
        <is>
          <t>Betrag in Euro</t>
        </is>
      </c>
      <c r="D11" s="8" t="inlineStr">
        <is>
          <t>Zinsen offen</t>
        </is>
      </c>
      <c r="E11" s="14">
        <f>IF(E4="ok",INDEX(Tage!H2:H2558,E6),0)</f>
        <v/>
      </c>
    </row>
    <row r="12">
      <c r="A12" s="10" t="n">
        <v>46097</v>
      </c>
      <c r="B12" s="7" t="n">
        <v>3000</v>
      </c>
      <c r="D12" s="8" t="inlineStr">
        <is>
          <t>Hauptforderung offen</t>
        </is>
      </c>
      <c r="E12" s="14">
        <f>IF(E4="ok",INDEX(Tage!J2:J2558,E6),B4)</f>
        <v/>
      </c>
    </row>
    <row r="13">
      <c r="A13" s="10" t="n"/>
      <c r="B13" s="7" t="n"/>
      <c r="D13" s="8" t="inlineStr">
        <is>
          <t>Pauschale § 288 Abs. 5 BGB</t>
        </is>
      </c>
      <c r="E13" s="14">
        <f>IF(B8="ja",40,0)</f>
        <v/>
      </c>
    </row>
    <row r="14">
      <c r="A14" s="10" t="n"/>
      <c r="B14" s="7" t="n"/>
      <c r="D14" s="8" t="inlineStr">
        <is>
          <t>Überzahlung</t>
        </is>
      </c>
      <c r="E14" s="14">
        <f>IF(E4="ok",MAX(0,-E8)+SUM(Tage!K2:K2558),0)</f>
        <v/>
      </c>
    </row>
    <row r="15">
      <c r="A15" s="10" t="n"/>
      <c r="B15" s="7" t="n"/>
      <c r="D15" s="6" t="inlineStr">
        <is>
          <t>Forderung am Stichtag</t>
        </is>
      </c>
      <c r="E15" s="16">
        <f>E12+E11+E13</f>
        <v/>
      </c>
    </row>
    <row r="16">
      <c r="A16" s="10" t="n"/>
      <c r="B16" s="7" t="n"/>
      <c r="D16" s="8" t="inlineStr">
        <is>
          <t>Zahlungen nach Stichtag (nicht berücksichtigt)</t>
        </is>
      </c>
      <c r="E16" s="12">
        <f>IF(B6="",0,COUNTIF(A12:A21,"&gt;"&amp;B6))</f>
        <v/>
      </c>
    </row>
    <row r="17">
      <c r="A17" s="10" t="n"/>
      <c r="B17" s="7" t="n"/>
    </row>
    <row r="18">
      <c r="A18" s="10" t="n"/>
      <c r="B18" s="7" t="n"/>
    </row>
    <row r="19">
      <c r="A19" s="10" t="n"/>
      <c r="B19" s="7" t="n"/>
    </row>
    <row r="20">
      <c r="A20" s="10" t="n"/>
      <c r="B20" s="7" t="n"/>
    </row>
    <row r="21">
      <c r="A21" s="10" t="n"/>
      <c r="B21" s="7" t="n"/>
    </row>
    <row r="24">
      <c r="A24" s="6" t="inlineStr">
        <is>
          <t>Zinsen je Halbjahr</t>
        </is>
      </c>
    </row>
    <row r="25">
      <c r="A25" s="15" t="inlineStr">
        <is>
          <t>von</t>
        </is>
      </c>
      <c r="B25" s="15" t="inlineStr">
        <is>
          <t>bis</t>
        </is>
      </c>
      <c r="C25" s="15" t="inlineStr">
        <is>
          <t>Basiszins %</t>
        </is>
      </c>
      <c r="D25" s="15" t="inlineStr">
        <is>
          <t>Zinssatz %</t>
        </is>
      </c>
      <c r="E25" s="15" t="inlineStr">
        <is>
          <t>Tage</t>
        </is>
      </c>
      <c r="F25" s="15" t="inlineStr">
        <is>
          <t>Zinsen</t>
        </is>
      </c>
    </row>
    <row r="26">
      <c r="A26" s="11" t="n">
        <v>43831</v>
      </c>
      <c r="B26" s="11" t="n">
        <v>44012</v>
      </c>
      <c r="C26" s="17">
        <f>Basiszins!B5</f>
        <v/>
      </c>
      <c r="D26" s="17">
        <f>C26+$E$7</f>
        <v/>
      </c>
      <c r="E26" s="18">
        <f>COUNTIFS(Tage!$A$2:$A$2558,"&gt;="&amp;A26,Tage!$A$2:$A$2558,"&lt;="&amp;B26)</f>
        <v/>
      </c>
      <c r="F26" s="14">
        <f>SUMIFS(Tage!$E$2:$E$2558,Tage!$A$2:$A$2558,"&gt;="&amp;A26,Tage!$A$2:$A$2558,"&lt;="&amp;B26)</f>
        <v/>
      </c>
    </row>
    <row r="27">
      <c r="A27" s="11" t="n">
        <v>44013</v>
      </c>
      <c r="B27" s="11" t="n">
        <v>44196</v>
      </c>
      <c r="C27" s="17">
        <f>Basiszins!B6</f>
        <v/>
      </c>
      <c r="D27" s="17">
        <f>C27+$E$7</f>
        <v/>
      </c>
      <c r="E27" s="18">
        <f>COUNTIFS(Tage!$A$2:$A$2558,"&gt;="&amp;A27,Tage!$A$2:$A$2558,"&lt;="&amp;B27)</f>
        <v/>
      </c>
      <c r="F27" s="14">
        <f>SUMIFS(Tage!$E$2:$E$2558,Tage!$A$2:$A$2558,"&gt;="&amp;A27,Tage!$A$2:$A$2558,"&lt;="&amp;B27)</f>
        <v/>
      </c>
    </row>
    <row r="28">
      <c r="A28" s="11" t="n">
        <v>44197</v>
      </c>
      <c r="B28" s="11" t="n">
        <v>44377</v>
      </c>
      <c r="C28" s="17">
        <f>Basiszins!B7</f>
        <v/>
      </c>
      <c r="D28" s="17">
        <f>C28+$E$7</f>
        <v/>
      </c>
      <c r="E28" s="18">
        <f>COUNTIFS(Tage!$A$2:$A$2558,"&gt;="&amp;A28,Tage!$A$2:$A$2558,"&lt;="&amp;B28)</f>
        <v/>
      </c>
      <c r="F28" s="14">
        <f>SUMIFS(Tage!$E$2:$E$2558,Tage!$A$2:$A$2558,"&gt;="&amp;A28,Tage!$A$2:$A$2558,"&lt;="&amp;B28)</f>
        <v/>
      </c>
    </row>
    <row r="29">
      <c r="A29" s="11" t="n">
        <v>44378</v>
      </c>
      <c r="B29" s="11" t="n">
        <v>44561</v>
      </c>
      <c r="C29" s="17">
        <f>Basiszins!B8</f>
        <v/>
      </c>
      <c r="D29" s="17">
        <f>C29+$E$7</f>
        <v/>
      </c>
      <c r="E29" s="18">
        <f>COUNTIFS(Tage!$A$2:$A$2558,"&gt;="&amp;A29,Tage!$A$2:$A$2558,"&lt;="&amp;B29)</f>
        <v/>
      </c>
      <c r="F29" s="14">
        <f>SUMIFS(Tage!$E$2:$E$2558,Tage!$A$2:$A$2558,"&gt;="&amp;A29,Tage!$A$2:$A$2558,"&lt;="&amp;B29)</f>
        <v/>
      </c>
    </row>
    <row r="30">
      <c r="A30" s="11" t="n">
        <v>44562</v>
      </c>
      <c r="B30" s="11" t="n">
        <v>44742</v>
      </c>
      <c r="C30" s="17">
        <f>Basiszins!B9</f>
        <v/>
      </c>
      <c r="D30" s="17">
        <f>C30+$E$7</f>
        <v/>
      </c>
      <c r="E30" s="18">
        <f>COUNTIFS(Tage!$A$2:$A$2558,"&gt;="&amp;A30,Tage!$A$2:$A$2558,"&lt;="&amp;B30)</f>
        <v/>
      </c>
      <c r="F30" s="14">
        <f>SUMIFS(Tage!$E$2:$E$2558,Tage!$A$2:$A$2558,"&gt;="&amp;A30,Tage!$A$2:$A$2558,"&lt;="&amp;B30)</f>
        <v/>
      </c>
    </row>
    <row r="31">
      <c r="A31" s="11" t="n">
        <v>44743</v>
      </c>
      <c r="B31" s="11" t="n">
        <v>44926</v>
      </c>
      <c r="C31" s="17">
        <f>Basiszins!B10</f>
        <v/>
      </c>
      <c r="D31" s="17">
        <f>C31+$E$7</f>
        <v/>
      </c>
      <c r="E31" s="18">
        <f>COUNTIFS(Tage!$A$2:$A$2558,"&gt;="&amp;A31,Tage!$A$2:$A$2558,"&lt;="&amp;B31)</f>
        <v/>
      </c>
      <c r="F31" s="14">
        <f>SUMIFS(Tage!$E$2:$E$2558,Tage!$A$2:$A$2558,"&gt;="&amp;A31,Tage!$A$2:$A$2558,"&lt;="&amp;B31)</f>
        <v/>
      </c>
    </row>
    <row r="32">
      <c r="A32" s="11" t="n">
        <v>44927</v>
      </c>
      <c r="B32" s="11" t="n">
        <v>45107</v>
      </c>
      <c r="C32" s="17">
        <f>Basiszins!B11</f>
        <v/>
      </c>
      <c r="D32" s="17">
        <f>C32+$E$7</f>
        <v/>
      </c>
      <c r="E32" s="18">
        <f>COUNTIFS(Tage!$A$2:$A$2558,"&gt;="&amp;A32,Tage!$A$2:$A$2558,"&lt;="&amp;B32)</f>
        <v/>
      </c>
      <c r="F32" s="14">
        <f>SUMIFS(Tage!$E$2:$E$2558,Tage!$A$2:$A$2558,"&gt;="&amp;A32,Tage!$A$2:$A$2558,"&lt;="&amp;B32)</f>
        <v/>
      </c>
    </row>
    <row r="33">
      <c r="A33" s="11" t="n">
        <v>45108</v>
      </c>
      <c r="B33" s="11" t="n">
        <v>45291</v>
      </c>
      <c r="C33" s="17">
        <f>Basiszins!B12</f>
        <v/>
      </c>
      <c r="D33" s="17">
        <f>C33+$E$7</f>
        <v/>
      </c>
      <c r="E33" s="18">
        <f>COUNTIFS(Tage!$A$2:$A$2558,"&gt;="&amp;A33,Tage!$A$2:$A$2558,"&lt;="&amp;B33)</f>
        <v/>
      </c>
      <c r="F33" s="14">
        <f>SUMIFS(Tage!$E$2:$E$2558,Tage!$A$2:$A$2558,"&gt;="&amp;A33,Tage!$A$2:$A$2558,"&lt;="&amp;B33)</f>
        <v/>
      </c>
    </row>
    <row r="34">
      <c r="A34" s="11" t="n">
        <v>45292</v>
      </c>
      <c r="B34" s="11" t="n">
        <v>45473</v>
      </c>
      <c r="C34" s="17">
        <f>Basiszins!B13</f>
        <v/>
      </c>
      <c r="D34" s="17">
        <f>C34+$E$7</f>
        <v/>
      </c>
      <c r="E34" s="18">
        <f>COUNTIFS(Tage!$A$2:$A$2558,"&gt;="&amp;A34,Tage!$A$2:$A$2558,"&lt;="&amp;B34)</f>
        <v/>
      </c>
      <c r="F34" s="14">
        <f>SUMIFS(Tage!$E$2:$E$2558,Tage!$A$2:$A$2558,"&gt;="&amp;A34,Tage!$A$2:$A$2558,"&lt;="&amp;B34)</f>
        <v/>
      </c>
    </row>
    <row r="35">
      <c r="A35" s="11" t="n">
        <v>45474</v>
      </c>
      <c r="B35" s="11" t="n">
        <v>45657</v>
      </c>
      <c r="C35" s="17">
        <f>Basiszins!B14</f>
        <v/>
      </c>
      <c r="D35" s="17">
        <f>C35+$E$7</f>
        <v/>
      </c>
      <c r="E35" s="18">
        <f>COUNTIFS(Tage!$A$2:$A$2558,"&gt;="&amp;A35,Tage!$A$2:$A$2558,"&lt;="&amp;B35)</f>
        <v/>
      </c>
      <c r="F35" s="14">
        <f>SUMIFS(Tage!$E$2:$E$2558,Tage!$A$2:$A$2558,"&gt;="&amp;A35,Tage!$A$2:$A$2558,"&lt;="&amp;B35)</f>
        <v/>
      </c>
    </row>
    <row r="36">
      <c r="A36" s="11" t="n">
        <v>45658</v>
      </c>
      <c r="B36" s="11" t="n">
        <v>45838</v>
      </c>
      <c r="C36" s="17">
        <f>Basiszins!B15</f>
        <v/>
      </c>
      <c r="D36" s="17">
        <f>C36+$E$7</f>
        <v/>
      </c>
      <c r="E36" s="18">
        <f>COUNTIFS(Tage!$A$2:$A$2558,"&gt;="&amp;A36,Tage!$A$2:$A$2558,"&lt;="&amp;B36)</f>
        <v/>
      </c>
      <c r="F36" s="14">
        <f>SUMIFS(Tage!$E$2:$E$2558,Tage!$A$2:$A$2558,"&gt;="&amp;A36,Tage!$A$2:$A$2558,"&lt;="&amp;B36)</f>
        <v/>
      </c>
    </row>
    <row r="37">
      <c r="A37" s="11" t="n">
        <v>45839</v>
      </c>
      <c r="B37" s="11" t="n">
        <v>46022</v>
      </c>
      <c r="C37" s="17">
        <f>Basiszins!B16</f>
        <v/>
      </c>
      <c r="D37" s="17">
        <f>C37+$E$7</f>
        <v/>
      </c>
      <c r="E37" s="18">
        <f>COUNTIFS(Tage!$A$2:$A$2558,"&gt;="&amp;A37,Tage!$A$2:$A$2558,"&lt;="&amp;B37)</f>
        <v/>
      </c>
      <c r="F37" s="14">
        <f>SUMIFS(Tage!$E$2:$E$2558,Tage!$A$2:$A$2558,"&gt;="&amp;A37,Tage!$A$2:$A$2558,"&lt;="&amp;B37)</f>
        <v/>
      </c>
    </row>
    <row r="38">
      <c r="A38" s="11" t="n">
        <v>46023</v>
      </c>
      <c r="B38" s="11" t="n">
        <v>46203</v>
      </c>
      <c r="C38" s="17">
        <f>Basiszins!B17</f>
        <v/>
      </c>
      <c r="D38" s="17">
        <f>C38+$E$7</f>
        <v/>
      </c>
      <c r="E38" s="18">
        <f>COUNTIFS(Tage!$A$2:$A$2558,"&gt;="&amp;A38,Tage!$A$2:$A$2558,"&lt;="&amp;B38)</f>
        <v/>
      </c>
      <c r="F38" s="14">
        <f>SUMIFS(Tage!$E$2:$E$2558,Tage!$A$2:$A$2558,"&gt;="&amp;A38,Tage!$A$2:$A$2558,"&lt;="&amp;B38)</f>
        <v/>
      </c>
    </row>
    <row r="39">
      <c r="A39" s="11" t="n">
        <v>46204</v>
      </c>
      <c r="B39" s="11" t="n">
        <v>46387</v>
      </c>
      <c r="C39" s="17">
        <f>Basiszins!B18</f>
        <v/>
      </c>
      <c r="D39" s="17">
        <f>C39+$E$7</f>
        <v/>
      </c>
      <c r="E39" s="18">
        <f>COUNTIFS(Tage!$A$2:$A$2558,"&gt;="&amp;A39,Tage!$A$2:$A$2558,"&lt;="&amp;B39)</f>
        <v/>
      </c>
      <c r="F39" s="14">
        <f>SUMIFS(Tage!$E$2:$E$2558,Tage!$A$2:$A$2558,"&gt;="&amp;A39,Tage!$A$2:$A$2558,"&lt;="&amp;B39)</f>
        <v/>
      </c>
    </row>
    <row r="41">
      <c r="A41" s="6" t="inlineStr">
        <is>
          <t>Frage zum Schluss: Wie viele Zahlungseingänge ordnet Ihr Büro jede Woche von Hand einer Akte zu?</t>
        </is>
      </c>
    </row>
    <row r="42">
      <c r="A42" s="19" t="inlineStr">
        <is>
          <t>verheyden-tech.de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A26:F39">
    <cfRule type="expression" priority="1" dxfId="0">
      <formula>$E26=0</formula>
    </cfRule>
  </conditionalFormatting>
  <conditionalFormatting sqref="E4">
    <cfRule type="cellIs" priority="2" operator="equal" dxfId="1">
      <formula>"ok"</formula>
    </cfRule>
    <cfRule type="cellIs" priority="3" operator="notEqual" dxfId="2">
      <formula>"ok"</formula>
    </cfRule>
  </conditionalFormatting>
  <conditionalFormatting sqref="E14">
    <cfRule type="cellIs" priority="4" operator="greaterThan" dxfId="3">
      <formula>0.004</formula>
    </cfRule>
  </conditionalFormatting>
  <dataValidations count="4">
    <dataValidation sqref="B7" showDropDown="0" showInputMessage="0" showErrorMessage="0" allowBlank="0" type="list">
      <formula1>"9 Prozentpunkte,5 Prozentpunkte"</formula1>
    </dataValidation>
    <dataValidation sqref="B8" showDropDown="0" showInputMessage="0" showErrorMessage="0" allowBlank="0" type="list">
      <formula1>"ja,nein"</formula1>
    </dataValidation>
    <dataValidation sqref="A12:A21 B5:B6" showDropDown="0" showInputMessage="0" showErrorMessage="1" allowBlank="1" error="Bitte ein Datum zwischen 31.12.2019 und 31.12.2026 eingeben, z. B. 15.11.2025" type="date" operator="between">
      <formula1>43830</formula1>
      <formula2>46387</formula2>
    </dataValidation>
    <dataValidation sqref="B4 B12:B21" showDropDown="0" showInputMessage="0" showErrorMessage="1" allowBlank="1" error="Bitte einen Betrag ab 0 eingeben" type="decimal" operator="greaterThanOrEqual">
      <formula1>0</formula1>
    </dataValidation>
  </dataValidation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60" customWidth="1" min="3" max="3"/>
  </cols>
  <sheetData>
    <row r="1">
      <c r="A1" s="20" t="inlineStr">
        <is>
          <t>Basiszinssatz nach § 247 BGB</t>
        </is>
      </c>
    </row>
    <row r="2">
      <c r="A2" s="8" t="inlineStr">
        <is>
          <t>Quelle: Deutsche Bundesbank, https://www.bundesbank.de/de/bundesbank/organisation/agb-und-regelungen/basiszinssatz-607820, abgerufen 23.09.2026</t>
        </is>
      </c>
    </row>
    <row r="4">
      <c r="A4" s="15" t="inlineStr">
        <is>
          <t>gültig ab</t>
        </is>
      </c>
      <c r="B4" s="15" t="inlineStr">
        <is>
          <t>Basiszins in %</t>
        </is>
      </c>
      <c r="C4" s="15" t="inlineStr">
        <is>
          <t>Quelle</t>
        </is>
      </c>
    </row>
    <row r="5">
      <c r="A5" s="11" t="n">
        <v>43831</v>
      </c>
      <c r="B5" s="17" t="n">
        <v>-0.88</v>
      </c>
      <c r="C5" s="18" t="inlineStr">
        <is>
          <t>Deutsche Bundesbank</t>
        </is>
      </c>
    </row>
    <row r="6">
      <c r="A6" s="11" t="n">
        <v>44013</v>
      </c>
      <c r="B6" s="17" t="n">
        <v>-0.88</v>
      </c>
      <c r="C6" s="18" t="inlineStr">
        <is>
          <t>Deutsche Bundesbank</t>
        </is>
      </c>
    </row>
    <row r="7">
      <c r="A7" s="11" t="n">
        <v>44197</v>
      </c>
      <c r="B7" s="17" t="n">
        <v>-0.88</v>
      </c>
      <c r="C7" s="18" t="inlineStr">
        <is>
          <t>Deutsche Bundesbank</t>
        </is>
      </c>
    </row>
    <row r="8">
      <c r="A8" s="11" t="n">
        <v>44378</v>
      </c>
      <c r="B8" s="17" t="n">
        <v>-0.88</v>
      </c>
      <c r="C8" s="18" t="inlineStr">
        <is>
          <t>Deutsche Bundesbank</t>
        </is>
      </c>
    </row>
    <row r="9">
      <c r="A9" s="11" t="n">
        <v>44562</v>
      </c>
      <c r="B9" s="17" t="n">
        <v>-0.88</v>
      </c>
      <c r="C9" s="18" t="inlineStr">
        <is>
          <t>Deutsche Bundesbank</t>
        </is>
      </c>
    </row>
    <row r="10">
      <c r="A10" s="11" t="n">
        <v>44743</v>
      </c>
      <c r="B10" s="17" t="n">
        <v>-0.88</v>
      </c>
      <c r="C10" s="18" t="inlineStr">
        <is>
          <t>Deutsche Bundesbank</t>
        </is>
      </c>
    </row>
    <row r="11">
      <c r="A11" s="11" t="n">
        <v>44927</v>
      </c>
      <c r="B11" s="17" t="n">
        <v>1.62</v>
      </c>
      <c r="C11" s="18" t="inlineStr">
        <is>
          <t>Deutsche Bundesbank</t>
        </is>
      </c>
    </row>
    <row r="12">
      <c r="A12" s="11" t="n">
        <v>45108</v>
      </c>
      <c r="B12" s="17" t="n">
        <v>3.12</v>
      </c>
      <c r="C12" s="18" t="inlineStr">
        <is>
          <t>Deutsche Bundesbank</t>
        </is>
      </c>
    </row>
    <row r="13">
      <c r="A13" s="11" t="n">
        <v>45292</v>
      </c>
      <c r="B13" s="17" t="n">
        <v>3.62</v>
      </c>
      <c r="C13" s="18" t="inlineStr">
        <is>
          <t>Deutsche Bundesbank</t>
        </is>
      </c>
    </row>
    <row r="14">
      <c r="A14" s="11" t="n">
        <v>45474</v>
      </c>
      <c r="B14" s="17" t="n">
        <v>3.37</v>
      </c>
      <c r="C14" s="18" t="inlineStr">
        <is>
          <t>Deutsche Bundesbank</t>
        </is>
      </c>
    </row>
    <row r="15">
      <c r="A15" s="11" t="n">
        <v>45658</v>
      </c>
      <c r="B15" s="17" t="n">
        <v>2.27</v>
      </c>
      <c r="C15" s="18" t="inlineStr">
        <is>
          <t>Deutsche Bundesbank</t>
        </is>
      </c>
    </row>
    <row r="16">
      <c r="A16" s="11" t="n">
        <v>45839</v>
      </c>
      <c r="B16" s="17" t="n">
        <v>1.27</v>
      </c>
      <c r="C16" s="18" t="inlineStr">
        <is>
          <t>Deutsche Bundesbank</t>
        </is>
      </c>
    </row>
    <row r="17">
      <c r="A17" s="11" t="n">
        <v>46023</v>
      </c>
      <c r="B17" s="17" t="n">
        <v>1.27</v>
      </c>
      <c r="C17" s="18" t="inlineStr">
        <is>
          <t>Deutsche Bundesbank</t>
        </is>
      </c>
    </row>
    <row r="18">
      <c r="A18" s="11" t="n">
        <v>46204</v>
      </c>
      <c r="B18" s="17" t="n">
        <v>1.52</v>
      </c>
      <c r="C18" s="18" t="inlineStr">
        <is>
          <t>Deutsche Bundesbank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5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>
      <c r="A1" s="15" t="inlineStr">
        <is>
          <t>Datum</t>
        </is>
      </c>
      <c r="B1" s="15" t="inlineStr">
        <is>
          <t>Basiszins %</t>
        </is>
      </c>
      <c r="C1" s="15" t="inlineStr">
        <is>
          <t>Zinssatz %</t>
        </is>
      </c>
      <c r="D1" s="15" t="inlineStr">
        <is>
          <t>Kapital Tagesbeginn</t>
        </is>
      </c>
      <c r="E1" s="15" t="inlineStr">
        <is>
          <t>Tageszins</t>
        </is>
      </c>
      <c r="F1" s="15" t="inlineStr">
        <is>
          <t>Zahlung</t>
        </is>
      </c>
      <c r="G1" s="15" t="inlineStr">
        <is>
          <t>Zinsrückstand vor Zahlung</t>
        </is>
      </c>
      <c r="H1" s="15" t="inlineStr">
        <is>
          <t>Zinsrückstand nach Zahlung</t>
        </is>
      </c>
      <c r="I1" s="15" t="inlineStr">
        <is>
          <t>Tilgung Hauptforderung</t>
        </is>
      </c>
      <c r="J1" s="15" t="inlineStr">
        <is>
          <t>Kapital Tagesende</t>
        </is>
      </c>
      <c r="K1" s="15" t="inlineStr">
        <is>
          <t>Überzahlung</t>
        </is>
      </c>
    </row>
    <row r="2">
      <c r="A2" s="21">
        <f>IF(Rechner!$E$4&lt;&gt;"ok","",IF(Rechner!$E$5+0&lt;=Rechner!$B$6,Rechner!$E$5+0,""))</f>
        <v/>
      </c>
      <c r="B2">
        <f>IF(A2="","",LOOKUP(A2,Basiszins!$A$5:$A$18,Basiszins!$B$5:$B$18))</f>
        <v/>
      </c>
      <c r="C2">
        <f>IF(A2="","",B2+Rechner!$E$7)</f>
        <v/>
      </c>
      <c r="D2">
        <f>MAX(0,Rechner!$E$8)</f>
        <v/>
      </c>
      <c r="E2">
        <f>IF(A2="",0,D2*C2/100/(DATE(YEAR(A2)+1,1,1)-DATE(YEAR(A2),1,1)))</f>
        <v/>
      </c>
      <c r="F2">
        <f>IF(A2="",0,SUMIF(Rechner!$A$12:$A$21,A2,Rechner!$B$12:$B$21))</f>
        <v/>
      </c>
      <c r="G2">
        <f>E2</f>
        <v/>
      </c>
      <c r="H2">
        <f>G2-MIN(F2,G2)</f>
        <v/>
      </c>
      <c r="I2">
        <f>MIN(F2-MIN(F2,G2),D2)</f>
        <v/>
      </c>
      <c r="J2">
        <f>D2-I2</f>
        <v/>
      </c>
      <c r="K2">
        <f>F2-MIN(F2,G2)-I2</f>
        <v/>
      </c>
    </row>
    <row r="3">
      <c r="A3" s="21">
        <f>IF(Rechner!$E$4&lt;&gt;"ok","",IF(Rechner!$E$5+1&lt;=Rechner!$B$6,Rechner!$E$5+1,""))</f>
        <v/>
      </c>
      <c r="B3">
        <f>IF(A3="","",LOOKUP(A3,Basiszins!$A$5:$A$18,Basiszins!$B$5:$B$18))</f>
        <v/>
      </c>
      <c r="C3">
        <f>IF(A3="","",B3+Rechner!$E$7)</f>
        <v/>
      </c>
      <c r="D3">
        <f>J2</f>
        <v/>
      </c>
      <c r="E3">
        <f>IF(A3="",0,D3*C3/100/(DATE(YEAR(A3)+1,1,1)-DATE(YEAR(A3),1,1)))</f>
        <v/>
      </c>
      <c r="F3">
        <f>IF(A3="",0,SUMIF(Rechner!$A$12:$A$21,A3,Rechner!$B$12:$B$21))</f>
        <v/>
      </c>
      <c r="G3">
        <f>H2+E3</f>
        <v/>
      </c>
      <c r="H3">
        <f>G3-MIN(F3,G3)</f>
        <v/>
      </c>
      <c r="I3">
        <f>MIN(F3-MIN(F3,G3),D3)</f>
        <v/>
      </c>
      <c r="J3">
        <f>D3-I3</f>
        <v/>
      </c>
      <c r="K3">
        <f>F3-MIN(F3,G3)-I3</f>
        <v/>
      </c>
    </row>
    <row r="4">
      <c r="A4" s="21">
        <f>IF(Rechner!$E$4&lt;&gt;"ok","",IF(Rechner!$E$5+2&lt;=Rechner!$B$6,Rechner!$E$5+2,""))</f>
        <v/>
      </c>
      <c r="B4">
        <f>IF(A4="","",LOOKUP(A4,Basiszins!$A$5:$A$18,Basiszins!$B$5:$B$18))</f>
        <v/>
      </c>
      <c r="C4">
        <f>IF(A4="","",B4+Rechner!$E$7)</f>
        <v/>
      </c>
      <c r="D4">
        <f>J3</f>
        <v/>
      </c>
      <c r="E4">
        <f>IF(A4="",0,D4*C4/100/(DATE(YEAR(A4)+1,1,1)-DATE(YEAR(A4),1,1)))</f>
        <v/>
      </c>
      <c r="F4">
        <f>IF(A4="",0,SUMIF(Rechner!$A$12:$A$21,A4,Rechner!$B$12:$B$21))</f>
        <v/>
      </c>
      <c r="G4">
        <f>H3+E4</f>
        <v/>
      </c>
      <c r="H4">
        <f>G4-MIN(F4,G4)</f>
        <v/>
      </c>
      <c r="I4">
        <f>MIN(F4-MIN(F4,G4),D4)</f>
        <v/>
      </c>
      <c r="J4">
        <f>D4-I4</f>
        <v/>
      </c>
      <c r="K4">
        <f>F4-MIN(F4,G4)-I4</f>
        <v/>
      </c>
    </row>
    <row r="5">
      <c r="A5" s="21">
        <f>IF(Rechner!$E$4&lt;&gt;"ok","",IF(Rechner!$E$5+3&lt;=Rechner!$B$6,Rechner!$E$5+3,""))</f>
        <v/>
      </c>
      <c r="B5">
        <f>IF(A5="","",LOOKUP(A5,Basiszins!$A$5:$A$18,Basiszins!$B$5:$B$18))</f>
        <v/>
      </c>
      <c r="C5">
        <f>IF(A5="","",B5+Rechner!$E$7)</f>
        <v/>
      </c>
      <c r="D5">
        <f>J4</f>
        <v/>
      </c>
      <c r="E5">
        <f>IF(A5="",0,D5*C5/100/(DATE(YEAR(A5)+1,1,1)-DATE(YEAR(A5),1,1)))</f>
        <v/>
      </c>
      <c r="F5">
        <f>IF(A5="",0,SUMIF(Rechner!$A$12:$A$21,A5,Rechner!$B$12:$B$21))</f>
        <v/>
      </c>
      <c r="G5">
        <f>H4+E5</f>
        <v/>
      </c>
      <c r="H5">
        <f>G5-MIN(F5,G5)</f>
        <v/>
      </c>
      <c r="I5">
        <f>MIN(F5-MIN(F5,G5),D5)</f>
        <v/>
      </c>
      <c r="J5">
        <f>D5-I5</f>
        <v/>
      </c>
      <c r="K5">
        <f>F5-MIN(F5,G5)-I5</f>
        <v/>
      </c>
    </row>
    <row r="6">
      <c r="A6" s="21">
        <f>IF(Rechner!$E$4&lt;&gt;"ok","",IF(Rechner!$E$5+4&lt;=Rechner!$B$6,Rechner!$E$5+4,""))</f>
        <v/>
      </c>
      <c r="B6">
        <f>IF(A6="","",LOOKUP(A6,Basiszins!$A$5:$A$18,Basiszins!$B$5:$B$18))</f>
        <v/>
      </c>
      <c r="C6">
        <f>IF(A6="","",B6+Rechner!$E$7)</f>
        <v/>
      </c>
      <c r="D6">
        <f>J5</f>
        <v/>
      </c>
      <c r="E6">
        <f>IF(A6="",0,D6*C6/100/(DATE(YEAR(A6)+1,1,1)-DATE(YEAR(A6),1,1)))</f>
        <v/>
      </c>
      <c r="F6">
        <f>IF(A6="",0,SUMIF(Rechner!$A$12:$A$21,A6,Rechner!$B$12:$B$21))</f>
        <v/>
      </c>
      <c r="G6">
        <f>H5+E6</f>
        <v/>
      </c>
      <c r="H6">
        <f>G6-MIN(F6,G6)</f>
        <v/>
      </c>
      <c r="I6">
        <f>MIN(F6-MIN(F6,G6),D6)</f>
        <v/>
      </c>
      <c r="J6">
        <f>D6-I6</f>
        <v/>
      </c>
      <c r="K6">
        <f>F6-MIN(F6,G6)-I6</f>
        <v/>
      </c>
    </row>
    <row r="7">
      <c r="A7" s="21">
        <f>IF(Rechner!$E$4&lt;&gt;"ok","",IF(Rechner!$E$5+5&lt;=Rechner!$B$6,Rechner!$E$5+5,""))</f>
        <v/>
      </c>
      <c r="B7">
        <f>IF(A7="","",LOOKUP(A7,Basiszins!$A$5:$A$18,Basiszins!$B$5:$B$18))</f>
        <v/>
      </c>
      <c r="C7">
        <f>IF(A7="","",B7+Rechner!$E$7)</f>
        <v/>
      </c>
      <c r="D7">
        <f>J6</f>
        <v/>
      </c>
      <c r="E7">
        <f>IF(A7="",0,D7*C7/100/(DATE(YEAR(A7)+1,1,1)-DATE(YEAR(A7),1,1)))</f>
        <v/>
      </c>
      <c r="F7">
        <f>IF(A7="",0,SUMIF(Rechner!$A$12:$A$21,A7,Rechner!$B$12:$B$21))</f>
        <v/>
      </c>
      <c r="G7">
        <f>H6+E7</f>
        <v/>
      </c>
      <c r="H7">
        <f>G7-MIN(F7,G7)</f>
        <v/>
      </c>
      <c r="I7">
        <f>MIN(F7-MIN(F7,G7),D7)</f>
        <v/>
      </c>
      <c r="J7">
        <f>D7-I7</f>
        <v/>
      </c>
      <c r="K7">
        <f>F7-MIN(F7,G7)-I7</f>
        <v/>
      </c>
    </row>
    <row r="8">
      <c r="A8" s="21">
        <f>IF(Rechner!$E$4&lt;&gt;"ok","",IF(Rechner!$E$5+6&lt;=Rechner!$B$6,Rechner!$E$5+6,""))</f>
        <v/>
      </c>
      <c r="B8">
        <f>IF(A8="","",LOOKUP(A8,Basiszins!$A$5:$A$18,Basiszins!$B$5:$B$18))</f>
        <v/>
      </c>
      <c r="C8">
        <f>IF(A8="","",B8+Rechner!$E$7)</f>
        <v/>
      </c>
      <c r="D8">
        <f>J7</f>
        <v/>
      </c>
      <c r="E8">
        <f>IF(A8="",0,D8*C8/100/(DATE(YEAR(A8)+1,1,1)-DATE(YEAR(A8),1,1)))</f>
        <v/>
      </c>
      <c r="F8">
        <f>IF(A8="",0,SUMIF(Rechner!$A$12:$A$21,A8,Rechner!$B$12:$B$21))</f>
        <v/>
      </c>
      <c r="G8">
        <f>H7+E8</f>
        <v/>
      </c>
      <c r="H8">
        <f>G8-MIN(F8,G8)</f>
        <v/>
      </c>
      <c r="I8">
        <f>MIN(F8-MIN(F8,G8),D8)</f>
        <v/>
      </c>
      <c r="J8">
        <f>D8-I8</f>
        <v/>
      </c>
      <c r="K8">
        <f>F8-MIN(F8,G8)-I8</f>
        <v/>
      </c>
    </row>
    <row r="9">
      <c r="A9" s="21">
        <f>IF(Rechner!$E$4&lt;&gt;"ok","",IF(Rechner!$E$5+7&lt;=Rechner!$B$6,Rechner!$E$5+7,""))</f>
        <v/>
      </c>
      <c r="B9">
        <f>IF(A9="","",LOOKUP(A9,Basiszins!$A$5:$A$18,Basiszins!$B$5:$B$18))</f>
        <v/>
      </c>
      <c r="C9">
        <f>IF(A9="","",B9+Rechner!$E$7)</f>
        <v/>
      </c>
      <c r="D9">
        <f>J8</f>
        <v/>
      </c>
      <c r="E9">
        <f>IF(A9="",0,D9*C9/100/(DATE(YEAR(A9)+1,1,1)-DATE(YEAR(A9),1,1)))</f>
        <v/>
      </c>
      <c r="F9">
        <f>IF(A9="",0,SUMIF(Rechner!$A$12:$A$21,A9,Rechner!$B$12:$B$21))</f>
        <v/>
      </c>
      <c r="G9">
        <f>H8+E9</f>
        <v/>
      </c>
      <c r="H9">
        <f>G9-MIN(F9,G9)</f>
        <v/>
      </c>
      <c r="I9">
        <f>MIN(F9-MIN(F9,G9),D9)</f>
        <v/>
      </c>
      <c r="J9">
        <f>D9-I9</f>
        <v/>
      </c>
      <c r="K9">
        <f>F9-MIN(F9,G9)-I9</f>
        <v/>
      </c>
    </row>
    <row r="10">
      <c r="A10" s="21">
        <f>IF(Rechner!$E$4&lt;&gt;"ok","",IF(Rechner!$E$5+8&lt;=Rechner!$B$6,Rechner!$E$5+8,""))</f>
        <v/>
      </c>
      <c r="B10">
        <f>IF(A10="","",LOOKUP(A10,Basiszins!$A$5:$A$18,Basiszins!$B$5:$B$18))</f>
        <v/>
      </c>
      <c r="C10">
        <f>IF(A10="","",B10+Rechner!$E$7)</f>
        <v/>
      </c>
      <c r="D10">
        <f>J9</f>
        <v/>
      </c>
      <c r="E10">
        <f>IF(A10="",0,D10*C10/100/(DATE(YEAR(A10)+1,1,1)-DATE(YEAR(A10),1,1)))</f>
        <v/>
      </c>
      <c r="F10">
        <f>IF(A10="",0,SUMIF(Rechner!$A$12:$A$21,A10,Rechner!$B$12:$B$21))</f>
        <v/>
      </c>
      <c r="G10">
        <f>H9+E10</f>
        <v/>
      </c>
      <c r="H10">
        <f>G10-MIN(F10,G10)</f>
        <v/>
      </c>
      <c r="I10">
        <f>MIN(F10-MIN(F10,G10),D10)</f>
        <v/>
      </c>
      <c r="J10">
        <f>D10-I10</f>
        <v/>
      </c>
      <c r="K10">
        <f>F10-MIN(F10,G10)-I10</f>
        <v/>
      </c>
    </row>
    <row r="11">
      <c r="A11" s="21">
        <f>IF(Rechner!$E$4&lt;&gt;"ok","",IF(Rechner!$E$5+9&lt;=Rechner!$B$6,Rechner!$E$5+9,""))</f>
        <v/>
      </c>
      <c r="B11">
        <f>IF(A11="","",LOOKUP(A11,Basiszins!$A$5:$A$18,Basiszins!$B$5:$B$18))</f>
        <v/>
      </c>
      <c r="C11">
        <f>IF(A11="","",B11+Rechner!$E$7)</f>
        <v/>
      </c>
      <c r="D11">
        <f>J10</f>
        <v/>
      </c>
      <c r="E11">
        <f>IF(A11="",0,D11*C11/100/(DATE(YEAR(A11)+1,1,1)-DATE(YEAR(A11),1,1)))</f>
        <v/>
      </c>
      <c r="F11">
        <f>IF(A11="",0,SUMIF(Rechner!$A$12:$A$21,A11,Rechner!$B$12:$B$21))</f>
        <v/>
      </c>
      <c r="G11">
        <f>H10+E11</f>
        <v/>
      </c>
      <c r="H11">
        <f>G11-MIN(F11,G11)</f>
        <v/>
      </c>
      <c r="I11">
        <f>MIN(F11-MIN(F11,G11),D11)</f>
        <v/>
      </c>
      <c r="J11">
        <f>D11-I11</f>
        <v/>
      </c>
      <c r="K11">
        <f>F11-MIN(F11,G11)-I11</f>
        <v/>
      </c>
    </row>
    <row r="12">
      <c r="A12" s="21">
        <f>IF(Rechner!$E$4&lt;&gt;"ok","",IF(Rechner!$E$5+10&lt;=Rechner!$B$6,Rechner!$E$5+10,""))</f>
        <v/>
      </c>
      <c r="B12">
        <f>IF(A12="","",LOOKUP(A12,Basiszins!$A$5:$A$18,Basiszins!$B$5:$B$18))</f>
        <v/>
      </c>
      <c r="C12">
        <f>IF(A12="","",B12+Rechner!$E$7)</f>
        <v/>
      </c>
      <c r="D12">
        <f>J11</f>
        <v/>
      </c>
      <c r="E12">
        <f>IF(A12="",0,D12*C12/100/(DATE(YEAR(A12)+1,1,1)-DATE(YEAR(A12),1,1)))</f>
        <v/>
      </c>
      <c r="F12">
        <f>IF(A12="",0,SUMIF(Rechner!$A$12:$A$21,A12,Rechner!$B$12:$B$21))</f>
        <v/>
      </c>
      <c r="G12">
        <f>H11+E12</f>
        <v/>
      </c>
      <c r="H12">
        <f>G12-MIN(F12,G12)</f>
        <v/>
      </c>
      <c r="I12">
        <f>MIN(F12-MIN(F12,G12),D12)</f>
        <v/>
      </c>
      <c r="J12">
        <f>D12-I12</f>
        <v/>
      </c>
      <c r="K12">
        <f>F12-MIN(F12,G12)-I12</f>
        <v/>
      </c>
    </row>
    <row r="13">
      <c r="A13" s="21">
        <f>IF(Rechner!$E$4&lt;&gt;"ok","",IF(Rechner!$E$5+11&lt;=Rechner!$B$6,Rechner!$E$5+11,""))</f>
        <v/>
      </c>
      <c r="B13">
        <f>IF(A13="","",LOOKUP(A13,Basiszins!$A$5:$A$18,Basiszins!$B$5:$B$18))</f>
        <v/>
      </c>
      <c r="C13">
        <f>IF(A13="","",B13+Rechner!$E$7)</f>
        <v/>
      </c>
      <c r="D13">
        <f>J12</f>
        <v/>
      </c>
      <c r="E13">
        <f>IF(A13="",0,D13*C13/100/(DATE(YEAR(A13)+1,1,1)-DATE(YEAR(A13),1,1)))</f>
        <v/>
      </c>
      <c r="F13">
        <f>IF(A13="",0,SUMIF(Rechner!$A$12:$A$21,A13,Rechner!$B$12:$B$21))</f>
        <v/>
      </c>
      <c r="G13">
        <f>H12+E13</f>
        <v/>
      </c>
      <c r="H13">
        <f>G13-MIN(F13,G13)</f>
        <v/>
      </c>
      <c r="I13">
        <f>MIN(F13-MIN(F13,G13),D13)</f>
        <v/>
      </c>
      <c r="J13">
        <f>D13-I13</f>
        <v/>
      </c>
      <c r="K13">
        <f>F13-MIN(F13,G13)-I13</f>
        <v/>
      </c>
    </row>
    <row r="14">
      <c r="A14" s="21">
        <f>IF(Rechner!$E$4&lt;&gt;"ok","",IF(Rechner!$E$5+12&lt;=Rechner!$B$6,Rechner!$E$5+12,""))</f>
        <v/>
      </c>
      <c r="B14">
        <f>IF(A14="","",LOOKUP(A14,Basiszins!$A$5:$A$18,Basiszins!$B$5:$B$18))</f>
        <v/>
      </c>
      <c r="C14">
        <f>IF(A14="","",B14+Rechner!$E$7)</f>
        <v/>
      </c>
      <c r="D14">
        <f>J13</f>
        <v/>
      </c>
      <c r="E14">
        <f>IF(A14="",0,D14*C14/100/(DATE(YEAR(A14)+1,1,1)-DATE(YEAR(A14),1,1)))</f>
        <v/>
      </c>
      <c r="F14">
        <f>IF(A14="",0,SUMIF(Rechner!$A$12:$A$21,A14,Rechner!$B$12:$B$21))</f>
        <v/>
      </c>
      <c r="G14">
        <f>H13+E14</f>
        <v/>
      </c>
      <c r="H14">
        <f>G14-MIN(F14,G14)</f>
        <v/>
      </c>
      <c r="I14">
        <f>MIN(F14-MIN(F14,G14),D14)</f>
        <v/>
      </c>
      <c r="J14">
        <f>D14-I14</f>
        <v/>
      </c>
      <c r="K14">
        <f>F14-MIN(F14,G14)-I14</f>
        <v/>
      </c>
    </row>
    <row r="15">
      <c r="A15" s="21">
        <f>IF(Rechner!$E$4&lt;&gt;"ok","",IF(Rechner!$E$5+13&lt;=Rechner!$B$6,Rechner!$E$5+13,""))</f>
        <v/>
      </c>
      <c r="B15">
        <f>IF(A15="","",LOOKUP(A15,Basiszins!$A$5:$A$18,Basiszins!$B$5:$B$18))</f>
        <v/>
      </c>
      <c r="C15">
        <f>IF(A15="","",B15+Rechner!$E$7)</f>
        <v/>
      </c>
      <c r="D15">
        <f>J14</f>
        <v/>
      </c>
      <c r="E15">
        <f>IF(A15="",0,D15*C15/100/(DATE(YEAR(A15)+1,1,1)-DATE(YEAR(A15),1,1)))</f>
        <v/>
      </c>
      <c r="F15">
        <f>IF(A15="",0,SUMIF(Rechner!$A$12:$A$21,A15,Rechner!$B$12:$B$21))</f>
        <v/>
      </c>
      <c r="G15">
        <f>H14+E15</f>
        <v/>
      </c>
      <c r="H15">
        <f>G15-MIN(F15,G15)</f>
        <v/>
      </c>
      <c r="I15">
        <f>MIN(F15-MIN(F15,G15),D15)</f>
        <v/>
      </c>
      <c r="J15">
        <f>D15-I15</f>
        <v/>
      </c>
      <c r="K15">
        <f>F15-MIN(F15,G15)-I15</f>
        <v/>
      </c>
    </row>
    <row r="16">
      <c r="A16" s="21">
        <f>IF(Rechner!$E$4&lt;&gt;"ok","",IF(Rechner!$E$5+14&lt;=Rechner!$B$6,Rechner!$E$5+14,""))</f>
        <v/>
      </c>
      <c r="B16">
        <f>IF(A16="","",LOOKUP(A16,Basiszins!$A$5:$A$18,Basiszins!$B$5:$B$18))</f>
        <v/>
      </c>
      <c r="C16">
        <f>IF(A16="","",B16+Rechner!$E$7)</f>
        <v/>
      </c>
      <c r="D16">
        <f>J15</f>
        <v/>
      </c>
      <c r="E16">
        <f>IF(A16="",0,D16*C16/100/(DATE(YEAR(A16)+1,1,1)-DATE(YEAR(A16),1,1)))</f>
        <v/>
      </c>
      <c r="F16">
        <f>IF(A16="",0,SUMIF(Rechner!$A$12:$A$21,A16,Rechner!$B$12:$B$21))</f>
        <v/>
      </c>
      <c r="G16">
        <f>H15+E16</f>
        <v/>
      </c>
      <c r="H16">
        <f>G16-MIN(F16,G16)</f>
        <v/>
      </c>
      <c r="I16">
        <f>MIN(F16-MIN(F16,G16),D16)</f>
        <v/>
      </c>
      <c r="J16">
        <f>D16-I16</f>
        <v/>
      </c>
      <c r="K16">
        <f>F16-MIN(F16,G16)-I16</f>
        <v/>
      </c>
    </row>
    <row r="17">
      <c r="A17" s="21">
        <f>IF(Rechner!$E$4&lt;&gt;"ok","",IF(Rechner!$E$5+15&lt;=Rechner!$B$6,Rechner!$E$5+15,""))</f>
        <v/>
      </c>
      <c r="B17">
        <f>IF(A17="","",LOOKUP(A17,Basiszins!$A$5:$A$18,Basiszins!$B$5:$B$18))</f>
        <v/>
      </c>
      <c r="C17">
        <f>IF(A17="","",B17+Rechner!$E$7)</f>
        <v/>
      </c>
      <c r="D17">
        <f>J16</f>
        <v/>
      </c>
      <c r="E17">
        <f>IF(A17="",0,D17*C17/100/(DATE(YEAR(A17)+1,1,1)-DATE(YEAR(A17),1,1)))</f>
        <v/>
      </c>
      <c r="F17">
        <f>IF(A17="",0,SUMIF(Rechner!$A$12:$A$21,A17,Rechner!$B$12:$B$21))</f>
        <v/>
      </c>
      <c r="G17">
        <f>H16+E17</f>
        <v/>
      </c>
      <c r="H17">
        <f>G17-MIN(F17,G17)</f>
        <v/>
      </c>
      <c r="I17">
        <f>MIN(F17-MIN(F17,G17),D17)</f>
        <v/>
      </c>
      <c r="J17">
        <f>D17-I17</f>
        <v/>
      </c>
      <c r="K17">
        <f>F17-MIN(F17,G17)-I17</f>
        <v/>
      </c>
    </row>
    <row r="18">
      <c r="A18" s="21">
        <f>IF(Rechner!$E$4&lt;&gt;"ok","",IF(Rechner!$E$5+16&lt;=Rechner!$B$6,Rechner!$E$5+16,""))</f>
        <v/>
      </c>
      <c r="B18">
        <f>IF(A18="","",LOOKUP(A18,Basiszins!$A$5:$A$18,Basiszins!$B$5:$B$18))</f>
        <v/>
      </c>
      <c r="C18">
        <f>IF(A18="","",B18+Rechner!$E$7)</f>
        <v/>
      </c>
      <c r="D18">
        <f>J17</f>
        <v/>
      </c>
      <c r="E18">
        <f>IF(A18="",0,D18*C18/100/(DATE(YEAR(A18)+1,1,1)-DATE(YEAR(A18),1,1)))</f>
        <v/>
      </c>
      <c r="F18">
        <f>IF(A18="",0,SUMIF(Rechner!$A$12:$A$21,A18,Rechner!$B$12:$B$21))</f>
        <v/>
      </c>
      <c r="G18">
        <f>H17+E18</f>
        <v/>
      </c>
      <c r="H18">
        <f>G18-MIN(F18,G18)</f>
        <v/>
      </c>
      <c r="I18">
        <f>MIN(F18-MIN(F18,G18),D18)</f>
        <v/>
      </c>
      <c r="J18">
        <f>D18-I18</f>
        <v/>
      </c>
      <c r="K18">
        <f>F18-MIN(F18,G18)-I18</f>
        <v/>
      </c>
    </row>
    <row r="19">
      <c r="A19" s="21">
        <f>IF(Rechner!$E$4&lt;&gt;"ok","",IF(Rechner!$E$5+17&lt;=Rechner!$B$6,Rechner!$E$5+17,""))</f>
        <v/>
      </c>
      <c r="B19">
        <f>IF(A19="","",LOOKUP(A19,Basiszins!$A$5:$A$18,Basiszins!$B$5:$B$18))</f>
        <v/>
      </c>
      <c r="C19">
        <f>IF(A19="","",B19+Rechner!$E$7)</f>
        <v/>
      </c>
      <c r="D19">
        <f>J18</f>
        <v/>
      </c>
      <c r="E19">
        <f>IF(A19="",0,D19*C19/100/(DATE(YEAR(A19)+1,1,1)-DATE(YEAR(A19),1,1)))</f>
        <v/>
      </c>
      <c r="F19">
        <f>IF(A19="",0,SUMIF(Rechner!$A$12:$A$21,A19,Rechner!$B$12:$B$21))</f>
        <v/>
      </c>
      <c r="G19">
        <f>H18+E19</f>
        <v/>
      </c>
      <c r="H19">
        <f>G19-MIN(F19,G19)</f>
        <v/>
      </c>
      <c r="I19">
        <f>MIN(F19-MIN(F19,G19),D19)</f>
        <v/>
      </c>
      <c r="J19">
        <f>D19-I19</f>
        <v/>
      </c>
      <c r="K19">
        <f>F19-MIN(F19,G19)-I19</f>
        <v/>
      </c>
    </row>
    <row r="20">
      <c r="A20" s="21">
        <f>IF(Rechner!$E$4&lt;&gt;"ok","",IF(Rechner!$E$5+18&lt;=Rechner!$B$6,Rechner!$E$5+18,""))</f>
        <v/>
      </c>
      <c r="B20">
        <f>IF(A20="","",LOOKUP(A20,Basiszins!$A$5:$A$18,Basiszins!$B$5:$B$18))</f>
        <v/>
      </c>
      <c r="C20">
        <f>IF(A20="","",B20+Rechner!$E$7)</f>
        <v/>
      </c>
      <c r="D20">
        <f>J19</f>
        <v/>
      </c>
      <c r="E20">
        <f>IF(A20="",0,D20*C20/100/(DATE(YEAR(A20)+1,1,1)-DATE(YEAR(A20),1,1)))</f>
        <v/>
      </c>
      <c r="F20">
        <f>IF(A20="",0,SUMIF(Rechner!$A$12:$A$21,A20,Rechner!$B$12:$B$21))</f>
        <v/>
      </c>
      <c r="G20">
        <f>H19+E20</f>
        <v/>
      </c>
      <c r="H20">
        <f>G20-MIN(F20,G20)</f>
        <v/>
      </c>
      <c r="I20">
        <f>MIN(F20-MIN(F20,G20),D20)</f>
        <v/>
      </c>
      <c r="J20">
        <f>D20-I20</f>
        <v/>
      </c>
      <c r="K20">
        <f>F20-MIN(F20,G20)-I20</f>
        <v/>
      </c>
    </row>
    <row r="21">
      <c r="A21" s="21">
        <f>IF(Rechner!$E$4&lt;&gt;"ok","",IF(Rechner!$E$5+19&lt;=Rechner!$B$6,Rechner!$E$5+19,""))</f>
        <v/>
      </c>
      <c r="B21">
        <f>IF(A21="","",LOOKUP(A21,Basiszins!$A$5:$A$18,Basiszins!$B$5:$B$18))</f>
        <v/>
      </c>
      <c r="C21">
        <f>IF(A21="","",B21+Rechner!$E$7)</f>
        <v/>
      </c>
      <c r="D21">
        <f>J20</f>
        <v/>
      </c>
      <c r="E21">
        <f>IF(A21="",0,D21*C21/100/(DATE(YEAR(A21)+1,1,1)-DATE(YEAR(A21),1,1)))</f>
        <v/>
      </c>
      <c r="F21">
        <f>IF(A21="",0,SUMIF(Rechner!$A$12:$A$21,A21,Rechner!$B$12:$B$21))</f>
        <v/>
      </c>
      <c r="G21">
        <f>H20+E21</f>
        <v/>
      </c>
      <c r="H21">
        <f>G21-MIN(F21,G21)</f>
        <v/>
      </c>
      <c r="I21">
        <f>MIN(F21-MIN(F21,G21),D21)</f>
        <v/>
      </c>
      <c r="J21">
        <f>D21-I21</f>
        <v/>
      </c>
      <c r="K21">
        <f>F21-MIN(F21,G21)-I21</f>
        <v/>
      </c>
    </row>
    <row r="22">
      <c r="A22" s="21">
        <f>IF(Rechner!$E$4&lt;&gt;"ok","",IF(Rechner!$E$5+20&lt;=Rechner!$B$6,Rechner!$E$5+20,""))</f>
        <v/>
      </c>
      <c r="B22">
        <f>IF(A22="","",LOOKUP(A22,Basiszins!$A$5:$A$18,Basiszins!$B$5:$B$18))</f>
        <v/>
      </c>
      <c r="C22">
        <f>IF(A22="","",B22+Rechner!$E$7)</f>
        <v/>
      </c>
      <c r="D22">
        <f>J21</f>
        <v/>
      </c>
      <c r="E22">
        <f>IF(A22="",0,D22*C22/100/(DATE(YEAR(A22)+1,1,1)-DATE(YEAR(A22),1,1)))</f>
        <v/>
      </c>
      <c r="F22">
        <f>IF(A22="",0,SUMIF(Rechner!$A$12:$A$21,A22,Rechner!$B$12:$B$21))</f>
        <v/>
      </c>
      <c r="G22">
        <f>H21+E22</f>
        <v/>
      </c>
      <c r="H22">
        <f>G22-MIN(F22,G22)</f>
        <v/>
      </c>
      <c r="I22">
        <f>MIN(F22-MIN(F22,G22),D22)</f>
        <v/>
      </c>
      <c r="J22">
        <f>D22-I22</f>
        <v/>
      </c>
      <c r="K22">
        <f>F22-MIN(F22,G22)-I22</f>
        <v/>
      </c>
    </row>
    <row r="23">
      <c r="A23" s="21">
        <f>IF(Rechner!$E$4&lt;&gt;"ok","",IF(Rechner!$E$5+21&lt;=Rechner!$B$6,Rechner!$E$5+21,""))</f>
        <v/>
      </c>
      <c r="B23">
        <f>IF(A23="","",LOOKUP(A23,Basiszins!$A$5:$A$18,Basiszins!$B$5:$B$18))</f>
        <v/>
      </c>
      <c r="C23">
        <f>IF(A23="","",B23+Rechner!$E$7)</f>
        <v/>
      </c>
      <c r="D23">
        <f>J22</f>
        <v/>
      </c>
      <c r="E23">
        <f>IF(A23="",0,D23*C23/100/(DATE(YEAR(A23)+1,1,1)-DATE(YEAR(A23),1,1)))</f>
        <v/>
      </c>
      <c r="F23">
        <f>IF(A23="",0,SUMIF(Rechner!$A$12:$A$21,A23,Rechner!$B$12:$B$21))</f>
        <v/>
      </c>
      <c r="G23">
        <f>H22+E23</f>
        <v/>
      </c>
      <c r="H23">
        <f>G23-MIN(F23,G23)</f>
        <v/>
      </c>
      <c r="I23">
        <f>MIN(F23-MIN(F23,G23),D23)</f>
        <v/>
      </c>
      <c r="J23">
        <f>D23-I23</f>
        <v/>
      </c>
      <c r="K23">
        <f>F23-MIN(F23,G23)-I23</f>
        <v/>
      </c>
    </row>
    <row r="24">
      <c r="A24" s="21">
        <f>IF(Rechner!$E$4&lt;&gt;"ok","",IF(Rechner!$E$5+22&lt;=Rechner!$B$6,Rechner!$E$5+22,""))</f>
        <v/>
      </c>
      <c r="B24">
        <f>IF(A24="","",LOOKUP(A24,Basiszins!$A$5:$A$18,Basiszins!$B$5:$B$18))</f>
        <v/>
      </c>
      <c r="C24">
        <f>IF(A24="","",B24+Rechner!$E$7)</f>
        <v/>
      </c>
      <c r="D24">
        <f>J23</f>
        <v/>
      </c>
      <c r="E24">
        <f>IF(A24="",0,D24*C24/100/(DATE(YEAR(A24)+1,1,1)-DATE(YEAR(A24),1,1)))</f>
        <v/>
      </c>
      <c r="F24">
        <f>IF(A24="",0,SUMIF(Rechner!$A$12:$A$21,A24,Rechner!$B$12:$B$21))</f>
        <v/>
      </c>
      <c r="G24">
        <f>H23+E24</f>
        <v/>
      </c>
      <c r="H24">
        <f>G24-MIN(F24,G24)</f>
        <v/>
      </c>
      <c r="I24">
        <f>MIN(F24-MIN(F24,G24),D24)</f>
        <v/>
      </c>
      <c r="J24">
        <f>D24-I24</f>
        <v/>
      </c>
      <c r="K24">
        <f>F24-MIN(F24,G24)-I24</f>
        <v/>
      </c>
    </row>
    <row r="25">
      <c r="A25" s="21">
        <f>IF(Rechner!$E$4&lt;&gt;"ok","",IF(Rechner!$E$5+23&lt;=Rechner!$B$6,Rechner!$E$5+23,""))</f>
        <v/>
      </c>
      <c r="B25">
        <f>IF(A25="","",LOOKUP(A25,Basiszins!$A$5:$A$18,Basiszins!$B$5:$B$18))</f>
        <v/>
      </c>
      <c r="C25">
        <f>IF(A25="","",B25+Rechner!$E$7)</f>
        <v/>
      </c>
      <c r="D25">
        <f>J24</f>
        <v/>
      </c>
      <c r="E25">
        <f>IF(A25="",0,D25*C25/100/(DATE(YEAR(A25)+1,1,1)-DATE(YEAR(A25),1,1)))</f>
        <v/>
      </c>
      <c r="F25">
        <f>IF(A25="",0,SUMIF(Rechner!$A$12:$A$21,A25,Rechner!$B$12:$B$21))</f>
        <v/>
      </c>
      <c r="G25">
        <f>H24+E25</f>
        <v/>
      </c>
      <c r="H25">
        <f>G25-MIN(F25,G25)</f>
        <v/>
      </c>
      <c r="I25">
        <f>MIN(F25-MIN(F25,G25),D25)</f>
        <v/>
      </c>
      <c r="J25">
        <f>D25-I25</f>
        <v/>
      </c>
      <c r="K25">
        <f>F25-MIN(F25,G25)-I25</f>
        <v/>
      </c>
    </row>
    <row r="26">
      <c r="A26" s="21">
        <f>IF(Rechner!$E$4&lt;&gt;"ok","",IF(Rechner!$E$5+24&lt;=Rechner!$B$6,Rechner!$E$5+24,""))</f>
        <v/>
      </c>
      <c r="B26">
        <f>IF(A26="","",LOOKUP(A26,Basiszins!$A$5:$A$18,Basiszins!$B$5:$B$18))</f>
        <v/>
      </c>
      <c r="C26">
        <f>IF(A26="","",B26+Rechner!$E$7)</f>
        <v/>
      </c>
      <c r="D26">
        <f>J25</f>
        <v/>
      </c>
      <c r="E26">
        <f>IF(A26="",0,D26*C26/100/(DATE(YEAR(A26)+1,1,1)-DATE(YEAR(A26),1,1)))</f>
        <v/>
      </c>
      <c r="F26">
        <f>IF(A26="",0,SUMIF(Rechner!$A$12:$A$21,A26,Rechner!$B$12:$B$21))</f>
        <v/>
      </c>
      <c r="G26">
        <f>H25+E26</f>
        <v/>
      </c>
      <c r="H26">
        <f>G26-MIN(F26,G26)</f>
        <v/>
      </c>
      <c r="I26">
        <f>MIN(F26-MIN(F26,G26),D26)</f>
        <v/>
      </c>
      <c r="J26">
        <f>D26-I26</f>
        <v/>
      </c>
      <c r="K26">
        <f>F26-MIN(F26,G26)-I26</f>
        <v/>
      </c>
    </row>
    <row r="27">
      <c r="A27" s="21">
        <f>IF(Rechner!$E$4&lt;&gt;"ok","",IF(Rechner!$E$5+25&lt;=Rechner!$B$6,Rechner!$E$5+25,""))</f>
        <v/>
      </c>
      <c r="B27">
        <f>IF(A27="","",LOOKUP(A27,Basiszins!$A$5:$A$18,Basiszins!$B$5:$B$18))</f>
        <v/>
      </c>
      <c r="C27">
        <f>IF(A27="","",B27+Rechner!$E$7)</f>
        <v/>
      </c>
      <c r="D27">
        <f>J26</f>
        <v/>
      </c>
      <c r="E27">
        <f>IF(A27="",0,D27*C27/100/(DATE(YEAR(A27)+1,1,1)-DATE(YEAR(A27),1,1)))</f>
        <v/>
      </c>
      <c r="F27">
        <f>IF(A27="",0,SUMIF(Rechner!$A$12:$A$21,A27,Rechner!$B$12:$B$21))</f>
        <v/>
      </c>
      <c r="G27">
        <f>H26+E27</f>
        <v/>
      </c>
      <c r="H27">
        <f>G27-MIN(F27,G27)</f>
        <v/>
      </c>
      <c r="I27">
        <f>MIN(F27-MIN(F27,G27),D27)</f>
        <v/>
      </c>
      <c r="J27">
        <f>D27-I27</f>
        <v/>
      </c>
      <c r="K27">
        <f>F27-MIN(F27,G27)-I27</f>
        <v/>
      </c>
    </row>
    <row r="28">
      <c r="A28" s="21">
        <f>IF(Rechner!$E$4&lt;&gt;"ok","",IF(Rechner!$E$5+26&lt;=Rechner!$B$6,Rechner!$E$5+26,""))</f>
        <v/>
      </c>
      <c r="B28">
        <f>IF(A28="","",LOOKUP(A28,Basiszins!$A$5:$A$18,Basiszins!$B$5:$B$18))</f>
        <v/>
      </c>
      <c r="C28">
        <f>IF(A28="","",B28+Rechner!$E$7)</f>
        <v/>
      </c>
      <c r="D28">
        <f>J27</f>
        <v/>
      </c>
      <c r="E28">
        <f>IF(A28="",0,D28*C28/100/(DATE(YEAR(A28)+1,1,1)-DATE(YEAR(A28),1,1)))</f>
        <v/>
      </c>
      <c r="F28">
        <f>IF(A28="",0,SUMIF(Rechner!$A$12:$A$21,A28,Rechner!$B$12:$B$21))</f>
        <v/>
      </c>
      <c r="G28">
        <f>H27+E28</f>
        <v/>
      </c>
      <c r="H28">
        <f>G28-MIN(F28,G28)</f>
        <v/>
      </c>
      <c r="I28">
        <f>MIN(F28-MIN(F28,G28),D28)</f>
        <v/>
      </c>
      <c r="J28">
        <f>D28-I28</f>
        <v/>
      </c>
      <c r="K28">
        <f>F28-MIN(F28,G28)-I28</f>
        <v/>
      </c>
    </row>
    <row r="29">
      <c r="A29" s="21">
        <f>IF(Rechner!$E$4&lt;&gt;"ok","",IF(Rechner!$E$5+27&lt;=Rechner!$B$6,Rechner!$E$5+27,""))</f>
        <v/>
      </c>
      <c r="B29">
        <f>IF(A29="","",LOOKUP(A29,Basiszins!$A$5:$A$18,Basiszins!$B$5:$B$18))</f>
        <v/>
      </c>
      <c r="C29">
        <f>IF(A29="","",B29+Rechner!$E$7)</f>
        <v/>
      </c>
      <c r="D29">
        <f>J28</f>
        <v/>
      </c>
      <c r="E29">
        <f>IF(A29="",0,D29*C29/100/(DATE(YEAR(A29)+1,1,1)-DATE(YEAR(A29),1,1)))</f>
        <v/>
      </c>
      <c r="F29">
        <f>IF(A29="",0,SUMIF(Rechner!$A$12:$A$21,A29,Rechner!$B$12:$B$21))</f>
        <v/>
      </c>
      <c r="G29">
        <f>H28+E29</f>
        <v/>
      </c>
      <c r="H29">
        <f>G29-MIN(F29,G29)</f>
        <v/>
      </c>
      <c r="I29">
        <f>MIN(F29-MIN(F29,G29),D29)</f>
        <v/>
      </c>
      <c r="J29">
        <f>D29-I29</f>
        <v/>
      </c>
      <c r="K29">
        <f>F29-MIN(F29,G29)-I29</f>
        <v/>
      </c>
    </row>
    <row r="30">
      <c r="A30" s="21">
        <f>IF(Rechner!$E$4&lt;&gt;"ok","",IF(Rechner!$E$5+28&lt;=Rechner!$B$6,Rechner!$E$5+28,""))</f>
        <v/>
      </c>
      <c r="B30">
        <f>IF(A30="","",LOOKUP(A30,Basiszins!$A$5:$A$18,Basiszins!$B$5:$B$18))</f>
        <v/>
      </c>
      <c r="C30">
        <f>IF(A30="","",B30+Rechner!$E$7)</f>
        <v/>
      </c>
      <c r="D30">
        <f>J29</f>
        <v/>
      </c>
      <c r="E30">
        <f>IF(A30="",0,D30*C30/100/(DATE(YEAR(A30)+1,1,1)-DATE(YEAR(A30),1,1)))</f>
        <v/>
      </c>
      <c r="F30">
        <f>IF(A30="",0,SUMIF(Rechner!$A$12:$A$21,A30,Rechner!$B$12:$B$21))</f>
        <v/>
      </c>
      <c r="G30">
        <f>H29+E30</f>
        <v/>
      </c>
      <c r="H30">
        <f>G30-MIN(F30,G30)</f>
        <v/>
      </c>
      <c r="I30">
        <f>MIN(F30-MIN(F30,G30),D30)</f>
        <v/>
      </c>
      <c r="J30">
        <f>D30-I30</f>
        <v/>
      </c>
      <c r="K30">
        <f>F30-MIN(F30,G30)-I30</f>
        <v/>
      </c>
    </row>
    <row r="31">
      <c r="A31" s="21">
        <f>IF(Rechner!$E$4&lt;&gt;"ok","",IF(Rechner!$E$5+29&lt;=Rechner!$B$6,Rechner!$E$5+29,""))</f>
        <v/>
      </c>
      <c r="B31">
        <f>IF(A31="","",LOOKUP(A31,Basiszins!$A$5:$A$18,Basiszins!$B$5:$B$18))</f>
        <v/>
      </c>
      <c r="C31">
        <f>IF(A31="","",B31+Rechner!$E$7)</f>
        <v/>
      </c>
      <c r="D31">
        <f>J30</f>
        <v/>
      </c>
      <c r="E31">
        <f>IF(A31="",0,D31*C31/100/(DATE(YEAR(A31)+1,1,1)-DATE(YEAR(A31),1,1)))</f>
        <v/>
      </c>
      <c r="F31">
        <f>IF(A31="",0,SUMIF(Rechner!$A$12:$A$21,A31,Rechner!$B$12:$B$21))</f>
        <v/>
      </c>
      <c r="G31">
        <f>H30+E31</f>
        <v/>
      </c>
      <c r="H31">
        <f>G31-MIN(F31,G31)</f>
        <v/>
      </c>
      <c r="I31">
        <f>MIN(F31-MIN(F31,G31),D31)</f>
        <v/>
      </c>
      <c r="J31">
        <f>D31-I31</f>
        <v/>
      </c>
      <c r="K31">
        <f>F31-MIN(F31,G31)-I31</f>
        <v/>
      </c>
    </row>
    <row r="32">
      <c r="A32" s="21">
        <f>IF(Rechner!$E$4&lt;&gt;"ok","",IF(Rechner!$E$5+30&lt;=Rechner!$B$6,Rechner!$E$5+30,""))</f>
        <v/>
      </c>
      <c r="B32">
        <f>IF(A32="","",LOOKUP(A32,Basiszins!$A$5:$A$18,Basiszins!$B$5:$B$18))</f>
        <v/>
      </c>
      <c r="C32">
        <f>IF(A32="","",B32+Rechner!$E$7)</f>
        <v/>
      </c>
      <c r="D32">
        <f>J31</f>
        <v/>
      </c>
      <c r="E32">
        <f>IF(A32="",0,D32*C32/100/(DATE(YEAR(A32)+1,1,1)-DATE(YEAR(A32),1,1)))</f>
        <v/>
      </c>
      <c r="F32">
        <f>IF(A32="",0,SUMIF(Rechner!$A$12:$A$21,A32,Rechner!$B$12:$B$21))</f>
        <v/>
      </c>
      <c r="G32">
        <f>H31+E32</f>
        <v/>
      </c>
      <c r="H32">
        <f>G32-MIN(F32,G32)</f>
        <v/>
      </c>
      <c r="I32">
        <f>MIN(F32-MIN(F32,G32),D32)</f>
        <v/>
      </c>
      <c r="J32">
        <f>D32-I32</f>
        <v/>
      </c>
      <c r="K32">
        <f>F32-MIN(F32,G32)-I32</f>
        <v/>
      </c>
    </row>
    <row r="33">
      <c r="A33" s="21">
        <f>IF(Rechner!$E$4&lt;&gt;"ok","",IF(Rechner!$E$5+31&lt;=Rechner!$B$6,Rechner!$E$5+31,""))</f>
        <v/>
      </c>
      <c r="B33">
        <f>IF(A33="","",LOOKUP(A33,Basiszins!$A$5:$A$18,Basiszins!$B$5:$B$18))</f>
        <v/>
      </c>
      <c r="C33">
        <f>IF(A33="","",B33+Rechner!$E$7)</f>
        <v/>
      </c>
      <c r="D33">
        <f>J32</f>
        <v/>
      </c>
      <c r="E33">
        <f>IF(A33="",0,D33*C33/100/(DATE(YEAR(A33)+1,1,1)-DATE(YEAR(A33),1,1)))</f>
        <v/>
      </c>
      <c r="F33">
        <f>IF(A33="",0,SUMIF(Rechner!$A$12:$A$21,A33,Rechner!$B$12:$B$21))</f>
        <v/>
      </c>
      <c r="G33">
        <f>H32+E33</f>
        <v/>
      </c>
      <c r="H33">
        <f>G33-MIN(F33,G33)</f>
        <v/>
      </c>
      <c r="I33">
        <f>MIN(F33-MIN(F33,G33),D33)</f>
        <v/>
      </c>
      <c r="J33">
        <f>D33-I33</f>
        <v/>
      </c>
      <c r="K33">
        <f>F33-MIN(F33,G33)-I33</f>
        <v/>
      </c>
    </row>
    <row r="34">
      <c r="A34" s="21">
        <f>IF(Rechner!$E$4&lt;&gt;"ok","",IF(Rechner!$E$5+32&lt;=Rechner!$B$6,Rechner!$E$5+32,""))</f>
        <v/>
      </c>
      <c r="B34">
        <f>IF(A34="","",LOOKUP(A34,Basiszins!$A$5:$A$18,Basiszins!$B$5:$B$18))</f>
        <v/>
      </c>
      <c r="C34">
        <f>IF(A34="","",B34+Rechner!$E$7)</f>
        <v/>
      </c>
      <c r="D34">
        <f>J33</f>
        <v/>
      </c>
      <c r="E34">
        <f>IF(A34="",0,D34*C34/100/(DATE(YEAR(A34)+1,1,1)-DATE(YEAR(A34),1,1)))</f>
        <v/>
      </c>
      <c r="F34">
        <f>IF(A34="",0,SUMIF(Rechner!$A$12:$A$21,A34,Rechner!$B$12:$B$21))</f>
        <v/>
      </c>
      <c r="G34">
        <f>H33+E34</f>
        <v/>
      </c>
      <c r="H34">
        <f>G34-MIN(F34,G34)</f>
        <v/>
      </c>
      <c r="I34">
        <f>MIN(F34-MIN(F34,G34),D34)</f>
        <v/>
      </c>
      <c r="J34">
        <f>D34-I34</f>
        <v/>
      </c>
      <c r="K34">
        <f>F34-MIN(F34,G34)-I34</f>
        <v/>
      </c>
    </row>
    <row r="35">
      <c r="A35" s="21">
        <f>IF(Rechner!$E$4&lt;&gt;"ok","",IF(Rechner!$E$5+33&lt;=Rechner!$B$6,Rechner!$E$5+33,""))</f>
        <v/>
      </c>
      <c r="B35">
        <f>IF(A35="","",LOOKUP(A35,Basiszins!$A$5:$A$18,Basiszins!$B$5:$B$18))</f>
        <v/>
      </c>
      <c r="C35">
        <f>IF(A35="","",B35+Rechner!$E$7)</f>
        <v/>
      </c>
      <c r="D35">
        <f>J34</f>
        <v/>
      </c>
      <c r="E35">
        <f>IF(A35="",0,D35*C35/100/(DATE(YEAR(A35)+1,1,1)-DATE(YEAR(A35),1,1)))</f>
        <v/>
      </c>
      <c r="F35">
        <f>IF(A35="",0,SUMIF(Rechner!$A$12:$A$21,A35,Rechner!$B$12:$B$21))</f>
        <v/>
      </c>
      <c r="G35">
        <f>H34+E35</f>
        <v/>
      </c>
      <c r="H35">
        <f>G35-MIN(F35,G35)</f>
        <v/>
      </c>
      <c r="I35">
        <f>MIN(F35-MIN(F35,G35),D35)</f>
        <v/>
      </c>
      <c r="J35">
        <f>D35-I35</f>
        <v/>
      </c>
      <c r="K35">
        <f>F35-MIN(F35,G35)-I35</f>
        <v/>
      </c>
    </row>
    <row r="36">
      <c r="A36" s="21">
        <f>IF(Rechner!$E$4&lt;&gt;"ok","",IF(Rechner!$E$5+34&lt;=Rechner!$B$6,Rechner!$E$5+34,""))</f>
        <v/>
      </c>
      <c r="B36">
        <f>IF(A36="","",LOOKUP(A36,Basiszins!$A$5:$A$18,Basiszins!$B$5:$B$18))</f>
        <v/>
      </c>
      <c r="C36">
        <f>IF(A36="","",B36+Rechner!$E$7)</f>
        <v/>
      </c>
      <c r="D36">
        <f>J35</f>
        <v/>
      </c>
      <c r="E36">
        <f>IF(A36="",0,D36*C36/100/(DATE(YEAR(A36)+1,1,1)-DATE(YEAR(A36),1,1)))</f>
        <v/>
      </c>
      <c r="F36">
        <f>IF(A36="",0,SUMIF(Rechner!$A$12:$A$21,A36,Rechner!$B$12:$B$21))</f>
        <v/>
      </c>
      <c r="G36">
        <f>H35+E36</f>
        <v/>
      </c>
      <c r="H36">
        <f>G36-MIN(F36,G36)</f>
        <v/>
      </c>
      <c r="I36">
        <f>MIN(F36-MIN(F36,G36),D36)</f>
        <v/>
      </c>
      <c r="J36">
        <f>D36-I36</f>
        <v/>
      </c>
      <c r="K36">
        <f>F36-MIN(F36,G36)-I36</f>
        <v/>
      </c>
    </row>
    <row r="37">
      <c r="A37" s="21">
        <f>IF(Rechner!$E$4&lt;&gt;"ok","",IF(Rechner!$E$5+35&lt;=Rechner!$B$6,Rechner!$E$5+35,""))</f>
        <v/>
      </c>
      <c r="B37">
        <f>IF(A37="","",LOOKUP(A37,Basiszins!$A$5:$A$18,Basiszins!$B$5:$B$18))</f>
        <v/>
      </c>
      <c r="C37">
        <f>IF(A37="","",B37+Rechner!$E$7)</f>
        <v/>
      </c>
      <c r="D37">
        <f>J36</f>
        <v/>
      </c>
      <c r="E37">
        <f>IF(A37="",0,D37*C37/100/(DATE(YEAR(A37)+1,1,1)-DATE(YEAR(A37),1,1)))</f>
        <v/>
      </c>
      <c r="F37">
        <f>IF(A37="",0,SUMIF(Rechner!$A$12:$A$21,A37,Rechner!$B$12:$B$21))</f>
        <v/>
      </c>
      <c r="G37">
        <f>H36+E37</f>
        <v/>
      </c>
      <c r="H37">
        <f>G37-MIN(F37,G37)</f>
        <v/>
      </c>
      <c r="I37">
        <f>MIN(F37-MIN(F37,G37),D37)</f>
        <v/>
      </c>
      <c r="J37">
        <f>D37-I37</f>
        <v/>
      </c>
      <c r="K37">
        <f>F37-MIN(F37,G37)-I37</f>
        <v/>
      </c>
    </row>
    <row r="38">
      <c r="A38" s="21">
        <f>IF(Rechner!$E$4&lt;&gt;"ok","",IF(Rechner!$E$5+36&lt;=Rechner!$B$6,Rechner!$E$5+36,""))</f>
        <v/>
      </c>
      <c r="B38">
        <f>IF(A38="","",LOOKUP(A38,Basiszins!$A$5:$A$18,Basiszins!$B$5:$B$18))</f>
        <v/>
      </c>
      <c r="C38">
        <f>IF(A38="","",B38+Rechner!$E$7)</f>
        <v/>
      </c>
      <c r="D38">
        <f>J37</f>
        <v/>
      </c>
      <c r="E38">
        <f>IF(A38="",0,D38*C38/100/(DATE(YEAR(A38)+1,1,1)-DATE(YEAR(A38),1,1)))</f>
        <v/>
      </c>
      <c r="F38">
        <f>IF(A38="",0,SUMIF(Rechner!$A$12:$A$21,A38,Rechner!$B$12:$B$21))</f>
        <v/>
      </c>
      <c r="G38">
        <f>H37+E38</f>
        <v/>
      </c>
      <c r="H38">
        <f>G38-MIN(F38,G38)</f>
        <v/>
      </c>
      <c r="I38">
        <f>MIN(F38-MIN(F38,G38),D38)</f>
        <v/>
      </c>
      <c r="J38">
        <f>D38-I38</f>
        <v/>
      </c>
      <c r="K38">
        <f>F38-MIN(F38,G38)-I38</f>
        <v/>
      </c>
    </row>
    <row r="39">
      <c r="A39" s="21">
        <f>IF(Rechner!$E$4&lt;&gt;"ok","",IF(Rechner!$E$5+37&lt;=Rechner!$B$6,Rechner!$E$5+37,""))</f>
        <v/>
      </c>
      <c r="B39">
        <f>IF(A39="","",LOOKUP(A39,Basiszins!$A$5:$A$18,Basiszins!$B$5:$B$18))</f>
        <v/>
      </c>
      <c r="C39">
        <f>IF(A39="","",B39+Rechner!$E$7)</f>
        <v/>
      </c>
      <c r="D39">
        <f>J38</f>
        <v/>
      </c>
      <c r="E39">
        <f>IF(A39="",0,D39*C39/100/(DATE(YEAR(A39)+1,1,1)-DATE(YEAR(A39),1,1)))</f>
        <v/>
      </c>
      <c r="F39">
        <f>IF(A39="",0,SUMIF(Rechner!$A$12:$A$21,A39,Rechner!$B$12:$B$21))</f>
        <v/>
      </c>
      <c r="G39">
        <f>H38+E39</f>
        <v/>
      </c>
      <c r="H39">
        <f>G39-MIN(F39,G39)</f>
        <v/>
      </c>
      <c r="I39">
        <f>MIN(F39-MIN(F39,G39),D39)</f>
        <v/>
      </c>
      <c r="J39">
        <f>D39-I39</f>
        <v/>
      </c>
      <c r="K39">
        <f>F39-MIN(F39,G39)-I39</f>
        <v/>
      </c>
    </row>
    <row r="40">
      <c r="A40" s="21">
        <f>IF(Rechner!$E$4&lt;&gt;"ok","",IF(Rechner!$E$5+38&lt;=Rechner!$B$6,Rechner!$E$5+38,""))</f>
        <v/>
      </c>
      <c r="B40">
        <f>IF(A40="","",LOOKUP(A40,Basiszins!$A$5:$A$18,Basiszins!$B$5:$B$18))</f>
        <v/>
      </c>
      <c r="C40">
        <f>IF(A40="","",B40+Rechner!$E$7)</f>
        <v/>
      </c>
      <c r="D40">
        <f>J39</f>
        <v/>
      </c>
      <c r="E40">
        <f>IF(A40="",0,D40*C40/100/(DATE(YEAR(A40)+1,1,1)-DATE(YEAR(A40),1,1)))</f>
        <v/>
      </c>
      <c r="F40">
        <f>IF(A40="",0,SUMIF(Rechner!$A$12:$A$21,A40,Rechner!$B$12:$B$21))</f>
        <v/>
      </c>
      <c r="G40">
        <f>H39+E40</f>
        <v/>
      </c>
      <c r="H40">
        <f>G40-MIN(F40,G40)</f>
        <v/>
      </c>
      <c r="I40">
        <f>MIN(F40-MIN(F40,G40),D40)</f>
        <v/>
      </c>
      <c r="J40">
        <f>D40-I40</f>
        <v/>
      </c>
      <c r="K40">
        <f>F40-MIN(F40,G40)-I40</f>
        <v/>
      </c>
    </row>
    <row r="41">
      <c r="A41" s="21">
        <f>IF(Rechner!$E$4&lt;&gt;"ok","",IF(Rechner!$E$5+39&lt;=Rechner!$B$6,Rechner!$E$5+39,""))</f>
        <v/>
      </c>
      <c r="B41">
        <f>IF(A41="","",LOOKUP(A41,Basiszins!$A$5:$A$18,Basiszins!$B$5:$B$18))</f>
        <v/>
      </c>
      <c r="C41">
        <f>IF(A41="","",B41+Rechner!$E$7)</f>
        <v/>
      </c>
      <c r="D41">
        <f>J40</f>
        <v/>
      </c>
      <c r="E41">
        <f>IF(A41="",0,D41*C41/100/(DATE(YEAR(A41)+1,1,1)-DATE(YEAR(A41),1,1)))</f>
        <v/>
      </c>
      <c r="F41">
        <f>IF(A41="",0,SUMIF(Rechner!$A$12:$A$21,A41,Rechner!$B$12:$B$21))</f>
        <v/>
      </c>
      <c r="G41">
        <f>H40+E41</f>
        <v/>
      </c>
      <c r="H41">
        <f>G41-MIN(F41,G41)</f>
        <v/>
      </c>
      <c r="I41">
        <f>MIN(F41-MIN(F41,G41),D41)</f>
        <v/>
      </c>
      <c r="J41">
        <f>D41-I41</f>
        <v/>
      </c>
      <c r="K41">
        <f>F41-MIN(F41,G41)-I41</f>
        <v/>
      </c>
    </row>
    <row r="42">
      <c r="A42" s="21">
        <f>IF(Rechner!$E$4&lt;&gt;"ok","",IF(Rechner!$E$5+40&lt;=Rechner!$B$6,Rechner!$E$5+40,""))</f>
        <v/>
      </c>
      <c r="B42">
        <f>IF(A42="","",LOOKUP(A42,Basiszins!$A$5:$A$18,Basiszins!$B$5:$B$18))</f>
        <v/>
      </c>
      <c r="C42">
        <f>IF(A42="","",B42+Rechner!$E$7)</f>
        <v/>
      </c>
      <c r="D42">
        <f>J41</f>
        <v/>
      </c>
      <c r="E42">
        <f>IF(A42="",0,D42*C42/100/(DATE(YEAR(A42)+1,1,1)-DATE(YEAR(A42),1,1)))</f>
        <v/>
      </c>
      <c r="F42">
        <f>IF(A42="",0,SUMIF(Rechner!$A$12:$A$21,A42,Rechner!$B$12:$B$21))</f>
        <v/>
      </c>
      <c r="G42">
        <f>H41+E42</f>
        <v/>
      </c>
      <c r="H42">
        <f>G42-MIN(F42,G42)</f>
        <v/>
      </c>
      <c r="I42">
        <f>MIN(F42-MIN(F42,G42),D42)</f>
        <v/>
      </c>
      <c r="J42">
        <f>D42-I42</f>
        <v/>
      </c>
      <c r="K42">
        <f>F42-MIN(F42,G42)-I42</f>
        <v/>
      </c>
    </row>
    <row r="43">
      <c r="A43" s="21">
        <f>IF(Rechner!$E$4&lt;&gt;"ok","",IF(Rechner!$E$5+41&lt;=Rechner!$B$6,Rechner!$E$5+41,""))</f>
        <v/>
      </c>
      <c r="B43">
        <f>IF(A43="","",LOOKUP(A43,Basiszins!$A$5:$A$18,Basiszins!$B$5:$B$18))</f>
        <v/>
      </c>
      <c r="C43">
        <f>IF(A43="","",B43+Rechner!$E$7)</f>
        <v/>
      </c>
      <c r="D43">
        <f>J42</f>
        <v/>
      </c>
      <c r="E43">
        <f>IF(A43="",0,D43*C43/100/(DATE(YEAR(A43)+1,1,1)-DATE(YEAR(A43),1,1)))</f>
        <v/>
      </c>
      <c r="F43">
        <f>IF(A43="",0,SUMIF(Rechner!$A$12:$A$21,A43,Rechner!$B$12:$B$21))</f>
        <v/>
      </c>
      <c r="G43">
        <f>H42+E43</f>
        <v/>
      </c>
      <c r="H43">
        <f>G43-MIN(F43,G43)</f>
        <v/>
      </c>
      <c r="I43">
        <f>MIN(F43-MIN(F43,G43),D43)</f>
        <v/>
      </c>
      <c r="J43">
        <f>D43-I43</f>
        <v/>
      </c>
      <c r="K43">
        <f>F43-MIN(F43,G43)-I43</f>
        <v/>
      </c>
    </row>
    <row r="44">
      <c r="A44" s="21">
        <f>IF(Rechner!$E$4&lt;&gt;"ok","",IF(Rechner!$E$5+42&lt;=Rechner!$B$6,Rechner!$E$5+42,""))</f>
        <v/>
      </c>
      <c r="B44">
        <f>IF(A44="","",LOOKUP(A44,Basiszins!$A$5:$A$18,Basiszins!$B$5:$B$18))</f>
        <v/>
      </c>
      <c r="C44">
        <f>IF(A44="","",B44+Rechner!$E$7)</f>
        <v/>
      </c>
      <c r="D44">
        <f>J43</f>
        <v/>
      </c>
      <c r="E44">
        <f>IF(A44="",0,D44*C44/100/(DATE(YEAR(A44)+1,1,1)-DATE(YEAR(A44),1,1)))</f>
        <v/>
      </c>
      <c r="F44">
        <f>IF(A44="",0,SUMIF(Rechner!$A$12:$A$21,A44,Rechner!$B$12:$B$21))</f>
        <v/>
      </c>
      <c r="G44">
        <f>H43+E44</f>
        <v/>
      </c>
      <c r="H44">
        <f>G44-MIN(F44,G44)</f>
        <v/>
      </c>
      <c r="I44">
        <f>MIN(F44-MIN(F44,G44),D44)</f>
        <v/>
      </c>
      <c r="J44">
        <f>D44-I44</f>
        <v/>
      </c>
      <c r="K44">
        <f>F44-MIN(F44,G44)-I44</f>
        <v/>
      </c>
    </row>
    <row r="45">
      <c r="A45" s="21">
        <f>IF(Rechner!$E$4&lt;&gt;"ok","",IF(Rechner!$E$5+43&lt;=Rechner!$B$6,Rechner!$E$5+43,""))</f>
        <v/>
      </c>
      <c r="B45">
        <f>IF(A45="","",LOOKUP(A45,Basiszins!$A$5:$A$18,Basiszins!$B$5:$B$18))</f>
        <v/>
      </c>
      <c r="C45">
        <f>IF(A45="","",B45+Rechner!$E$7)</f>
        <v/>
      </c>
      <c r="D45">
        <f>J44</f>
        <v/>
      </c>
      <c r="E45">
        <f>IF(A45="",0,D45*C45/100/(DATE(YEAR(A45)+1,1,1)-DATE(YEAR(A45),1,1)))</f>
        <v/>
      </c>
      <c r="F45">
        <f>IF(A45="",0,SUMIF(Rechner!$A$12:$A$21,A45,Rechner!$B$12:$B$21))</f>
        <v/>
      </c>
      <c r="G45">
        <f>H44+E45</f>
        <v/>
      </c>
      <c r="H45">
        <f>G45-MIN(F45,G45)</f>
        <v/>
      </c>
      <c r="I45">
        <f>MIN(F45-MIN(F45,G45),D45)</f>
        <v/>
      </c>
      <c r="J45">
        <f>D45-I45</f>
        <v/>
      </c>
      <c r="K45">
        <f>F45-MIN(F45,G45)-I45</f>
        <v/>
      </c>
    </row>
    <row r="46">
      <c r="A46" s="21">
        <f>IF(Rechner!$E$4&lt;&gt;"ok","",IF(Rechner!$E$5+44&lt;=Rechner!$B$6,Rechner!$E$5+44,""))</f>
        <v/>
      </c>
      <c r="B46">
        <f>IF(A46="","",LOOKUP(A46,Basiszins!$A$5:$A$18,Basiszins!$B$5:$B$18))</f>
        <v/>
      </c>
      <c r="C46">
        <f>IF(A46="","",B46+Rechner!$E$7)</f>
        <v/>
      </c>
      <c r="D46">
        <f>J45</f>
        <v/>
      </c>
      <c r="E46">
        <f>IF(A46="",0,D46*C46/100/(DATE(YEAR(A46)+1,1,1)-DATE(YEAR(A46),1,1)))</f>
        <v/>
      </c>
      <c r="F46">
        <f>IF(A46="",0,SUMIF(Rechner!$A$12:$A$21,A46,Rechner!$B$12:$B$21))</f>
        <v/>
      </c>
      <c r="G46">
        <f>H45+E46</f>
        <v/>
      </c>
      <c r="H46">
        <f>G46-MIN(F46,G46)</f>
        <v/>
      </c>
      <c r="I46">
        <f>MIN(F46-MIN(F46,G46),D46)</f>
        <v/>
      </c>
      <c r="J46">
        <f>D46-I46</f>
        <v/>
      </c>
      <c r="K46">
        <f>F46-MIN(F46,G46)-I46</f>
        <v/>
      </c>
    </row>
    <row r="47">
      <c r="A47" s="21">
        <f>IF(Rechner!$E$4&lt;&gt;"ok","",IF(Rechner!$E$5+45&lt;=Rechner!$B$6,Rechner!$E$5+45,""))</f>
        <v/>
      </c>
      <c r="B47">
        <f>IF(A47="","",LOOKUP(A47,Basiszins!$A$5:$A$18,Basiszins!$B$5:$B$18))</f>
        <v/>
      </c>
      <c r="C47">
        <f>IF(A47="","",B47+Rechner!$E$7)</f>
        <v/>
      </c>
      <c r="D47">
        <f>J46</f>
        <v/>
      </c>
      <c r="E47">
        <f>IF(A47="",0,D47*C47/100/(DATE(YEAR(A47)+1,1,1)-DATE(YEAR(A47),1,1)))</f>
        <v/>
      </c>
      <c r="F47">
        <f>IF(A47="",0,SUMIF(Rechner!$A$12:$A$21,A47,Rechner!$B$12:$B$21))</f>
        <v/>
      </c>
      <c r="G47">
        <f>H46+E47</f>
        <v/>
      </c>
      <c r="H47">
        <f>G47-MIN(F47,G47)</f>
        <v/>
      </c>
      <c r="I47">
        <f>MIN(F47-MIN(F47,G47),D47)</f>
        <v/>
      </c>
      <c r="J47">
        <f>D47-I47</f>
        <v/>
      </c>
      <c r="K47">
        <f>F47-MIN(F47,G47)-I47</f>
        <v/>
      </c>
    </row>
    <row r="48">
      <c r="A48" s="21">
        <f>IF(Rechner!$E$4&lt;&gt;"ok","",IF(Rechner!$E$5+46&lt;=Rechner!$B$6,Rechner!$E$5+46,""))</f>
        <v/>
      </c>
      <c r="B48">
        <f>IF(A48="","",LOOKUP(A48,Basiszins!$A$5:$A$18,Basiszins!$B$5:$B$18))</f>
        <v/>
      </c>
      <c r="C48">
        <f>IF(A48="","",B48+Rechner!$E$7)</f>
        <v/>
      </c>
      <c r="D48">
        <f>J47</f>
        <v/>
      </c>
      <c r="E48">
        <f>IF(A48="",0,D48*C48/100/(DATE(YEAR(A48)+1,1,1)-DATE(YEAR(A48),1,1)))</f>
        <v/>
      </c>
      <c r="F48">
        <f>IF(A48="",0,SUMIF(Rechner!$A$12:$A$21,A48,Rechner!$B$12:$B$21))</f>
        <v/>
      </c>
      <c r="G48">
        <f>H47+E48</f>
        <v/>
      </c>
      <c r="H48">
        <f>G48-MIN(F48,G48)</f>
        <v/>
      </c>
      <c r="I48">
        <f>MIN(F48-MIN(F48,G48),D48)</f>
        <v/>
      </c>
      <c r="J48">
        <f>D48-I48</f>
        <v/>
      </c>
      <c r="K48">
        <f>F48-MIN(F48,G48)-I48</f>
        <v/>
      </c>
    </row>
    <row r="49">
      <c r="A49" s="21">
        <f>IF(Rechner!$E$4&lt;&gt;"ok","",IF(Rechner!$E$5+47&lt;=Rechner!$B$6,Rechner!$E$5+47,""))</f>
        <v/>
      </c>
      <c r="B49">
        <f>IF(A49="","",LOOKUP(A49,Basiszins!$A$5:$A$18,Basiszins!$B$5:$B$18))</f>
        <v/>
      </c>
      <c r="C49">
        <f>IF(A49="","",B49+Rechner!$E$7)</f>
        <v/>
      </c>
      <c r="D49">
        <f>J48</f>
        <v/>
      </c>
      <c r="E49">
        <f>IF(A49="",0,D49*C49/100/(DATE(YEAR(A49)+1,1,1)-DATE(YEAR(A49),1,1)))</f>
        <v/>
      </c>
      <c r="F49">
        <f>IF(A49="",0,SUMIF(Rechner!$A$12:$A$21,A49,Rechner!$B$12:$B$21))</f>
        <v/>
      </c>
      <c r="G49">
        <f>H48+E49</f>
        <v/>
      </c>
      <c r="H49">
        <f>G49-MIN(F49,G49)</f>
        <v/>
      </c>
      <c r="I49">
        <f>MIN(F49-MIN(F49,G49),D49)</f>
        <v/>
      </c>
      <c r="J49">
        <f>D49-I49</f>
        <v/>
      </c>
      <c r="K49">
        <f>F49-MIN(F49,G49)-I49</f>
        <v/>
      </c>
    </row>
    <row r="50">
      <c r="A50" s="21">
        <f>IF(Rechner!$E$4&lt;&gt;"ok","",IF(Rechner!$E$5+48&lt;=Rechner!$B$6,Rechner!$E$5+48,""))</f>
        <v/>
      </c>
      <c r="B50">
        <f>IF(A50="","",LOOKUP(A50,Basiszins!$A$5:$A$18,Basiszins!$B$5:$B$18))</f>
        <v/>
      </c>
      <c r="C50">
        <f>IF(A50="","",B50+Rechner!$E$7)</f>
        <v/>
      </c>
      <c r="D50">
        <f>J49</f>
        <v/>
      </c>
      <c r="E50">
        <f>IF(A50="",0,D50*C50/100/(DATE(YEAR(A50)+1,1,1)-DATE(YEAR(A50),1,1)))</f>
        <v/>
      </c>
      <c r="F50">
        <f>IF(A50="",0,SUMIF(Rechner!$A$12:$A$21,A50,Rechner!$B$12:$B$21))</f>
        <v/>
      </c>
      <c r="G50">
        <f>H49+E50</f>
        <v/>
      </c>
      <c r="H50">
        <f>G50-MIN(F50,G50)</f>
        <v/>
      </c>
      <c r="I50">
        <f>MIN(F50-MIN(F50,G50),D50)</f>
        <v/>
      </c>
      <c r="J50">
        <f>D50-I50</f>
        <v/>
      </c>
      <c r="K50">
        <f>F50-MIN(F50,G50)-I50</f>
        <v/>
      </c>
    </row>
    <row r="51">
      <c r="A51" s="21">
        <f>IF(Rechner!$E$4&lt;&gt;"ok","",IF(Rechner!$E$5+49&lt;=Rechner!$B$6,Rechner!$E$5+49,""))</f>
        <v/>
      </c>
      <c r="B51">
        <f>IF(A51="","",LOOKUP(A51,Basiszins!$A$5:$A$18,Basiszins!$B$5:$B$18))</f>
        <v/>
      </c>
      <c r="C51">
        <f>IF(A51="","",B51+Rechner!$E$7)</f>
        <v/>
      </c>
      <c r="D51">
        <f>J50</f>
        <v/>
      </c>
      <c r="E51">
        <f>IF(A51="",0,D51*C51/100/(DATE(YEAR(A51)+1,1,1)-DATE(YEAR(A51),1,1)))</f>
        <v/>
      </c>
      <c r="F51">
        <f>IF(A51="",0,SUMIF(Rechner!$A$12:$A$21,A51,Rechner!$B$12:$B$21))</f>
        <v/>
      </c>
      <c r="G51">
        <f>H50+E51</f>
        <v/>
      </c>
      <c r="H51">
        <f>G51-MIN(F51,G51)</f>
        <v/>
      </c>
      <c r="I51">
        <f>MIN(F51-MIN(F51,G51),D51)</f>
        <v/>
      </c>
      <c r="J51">
        <f>D51-I51</f>
        <v/>
      </c>
      <c r="K51">
        <f>F51-MIN(F51,G51)-I51</f>
        <v/>
      </c>
    </row>
    <row r="52">
      <c r="A52" s="21">
        <f>IF(Rechner!$E$4&lt;&gt;"ok","",IF(Rechner!$E$5+50&lt;=Rechner!$B$6,Rechner!$E$5+50,""))</f>
        <v/>
      </c>
      <c r="B52">
        <f>IF(A52="","",LOOKUP(A52,Basiszins!$A$5:$A$18,Basiszins!$B$5:$B$18))</f>
        <v/>
      </c>
      <c r="C52">
        <f>IF(A52="","",B52+Rechner!$E$7)</f>
        <v/>
      </c>
      <c r="D52">
        <f>J51</f>
        <v/>
      </c>
      <c r="E52">
        <f>IF(A52="",0,D52*C52/100/(DATE(YEAR(A52)+1,1,1)-DATE(YEAR(A52),1,1)))</f>
        <v/>
      </c>
      <c r="F52">
        <f>IF(A52="",0,SUMIF(Rechner!$A$12:$A$21,A52,Rechner!$B$12:$B$21))</f>
        <v/>
      </c>
      <c r="G52">
        <f>H51+E52</f>
        <v/>
      </c>
      <c r="H52">
        <f>G52-MIN(F52,G52)</f>
        <v/>
      </c>
      <c r="I52">
        <f>MIN(F52-MIN(F52,G52),D52)</f>
        <v/>
      </c>
      <c r="J52">
        <f>D52-I52</f>
        <v/>
      </c>
      <c r="K52">
        <f>F52-MIN(F52,G52)-I52</f>
        <v/>
      </c>
    </row>
    <row r="53">
      <c r="A53" s="21">
        <f>IF(Rechner!$E$4&lt;&gt;"ok","",IF(Rechner!$E$5+51&lt;=Rechner!$B$6,Rechner!$E$5+51,""))</f>
        <v/>
      </c>
      <c r="B53">
        <f>IF(A53="","",LOOKUP(A53,Basiszins!$A$5:$A$18,Basiszins!$B$5:$B$18))</f>
        <v/>
      </c>
      <c r="C53">
        <f>IF(A53="","",B53+Rechner!$E$7)</f>
        <v/>
      </c>
      <c r="D53">
        <f>J52</f>
        <v/>
      </c>
      <c r="E53">
        <f>IF(A53="",0,D53*C53/100/(DATE(YEAR(A53)+1,1,1)-DATE(YEAR(A53),1,1)))</f>
        <v/>
      </c>
      <c r="F53">
        <f>IF(A53="",0,SUMIF(Rechner!$A$12:$A$21,A53,Rechner!$B$12:$B$21))</f>
        <v/>
      </c>
      <c r="G53">
        <f>H52+E53</f>
        <v/>
      </c>
      <c r="H53">
        <f>G53-MIN(F53,G53)</f>
        <v/>
      </c>
      <c r="I53">
        <f>MIN(F53-MIN(F53,G53),D53)</f>
        <v/>
      </c>
      <c r="J53">
        <f>D53-I53</f>
        <v/>
      </c>
      <c r="K53">
        <f>F53-MIN(F53,G53)-I53</f>
        <v/>
      </c>
    </row>
    <row r="54">
      <c r="A54" s="21">
        <f>IF(Rechner!$E$4&lt;&gt;"ok","",IF(Rechner!$E$5+52&lt;=Rechner!$B$6,Rechner!$E$5+52,""))</f>
        <v/>
      </c>
      <c r="B54">
        <f>IF(A54="","",LOOKUP(A54,Basiszins!$A$5:$A$18,Basiszins!$B$5:$B$18))</f>
        <v/>
      </c>
      <c r="C54">
        <f>IF(A54="","",B54+Rechner!$E$7)</f>
        <v/>
      </c>
      <c r="D54">
        <f>J53</f>
        <v/>
      </c>
      <c r="E54">
        <f>IF(A54="",0,D54*C54/100/(DATE(YEAR(A54)+1,1,1)-DATE(YEAR(A54),1,1)))</f>
        <v/>
      </c>
      <c r="F54">
        <f>IF(A54="",0,SUMIF(Rechner!$A$12:$A$21,A54,Rechner!$B$12:$B$21))</f>
        <v/>
      </c>
      <c r="G54">
        <f>H53+E54</f>
        <v/>
      </c>
      <c r="H54">
        <f>G54-MIN(F54,G54)</f>
        <v/>
      </c>
      <c r="I54">
        <f>MIN(F54-MIN(F54,G54),D54)</f>
        <v/>
      </c>
      <c r="J54">
        <f>D54-I54</f>
        <v/>
      </c>
      <c r="K54">
        <f>F54-MIN(F54,G54)-I54</f>
        <v/>
      </c>
    </row>
    <row r="55">
      <c r="A55" s="21">
        <f>IF(Rechner!$E$4&lt;&gt;"ok","",IF(Rechner!$E$5+53&lt;=Rechner!$B$6,Rechner!$E$5+53,""))</f>
        <v/>
      </c>
      <c r="B55">
        <f>IF(A55="","",LOOKUP(A55,Basiszins!$A$5:$A$18,Basiszins!$B$5:$B$18))</f>
        <v/>
      </c>
      <c r="C55">
        <f>IF(A55="","",B55+Rechner!$E$7)</f>
        <v/>
      </c>
      <c r="D55">
        <f>J54</f>
        <v/>
      </c>
      <c r="E55">
        <f>IF(A55="",0,D55*C55/100/(DATE(YEAR(A55)+1,1,1)-DATE(YEAR(A55),1,1)))</f>
        <v/>
      </c>
      <c r="F55">
        <f>IF(A55="",0,SUMIF(Rechner!$A$12:$A$21,A55,Rechner!$B$12:$B$21))</f>
        <v/>
      </c>
      <c r="G55">
        <f>H54+E55</f>
        <v/>
      </c>
      <c r="H55">
        <f>G55-MIN(F55,G55)</f>
        <v/>
      </c>
      <c r="I55">
        <f>MIN(F55-MIN(F55,G55),D55)</f>
        <v/>
      </c>
      <c r="J55">
        <f>D55-I55</f>
        <v/>
      </c>
      <c r="K55">
        <f>F55-MIN(F55,G55)-I55</f>
        <v/>
      </c>
    </row>
    <row r="56">
      <c r="A56" s="21">
        <f>IF(Rechner!$E$4&lt;&gt;"ok","",IF(Rechner!$E$5+54&lt;=Rechner!$B$6,Rechner!$E$5+54,""))</f>
        <v/>
      </c>
      <c r="B56">
        <f>IF(A56="","",LOOKUP(A56,Basiszins!$A$5:$A$18,Basiszins!$B$5:$B$18))</f>
        <v/>
      </c>
      <c r="C56">
        <f>IF(A56="","",B56+Rechner!$E$7)</f>
        <v/>
      </c>
      <c r="D56">
        <f>J55</f>
        <v/>
      </c>
      <c r="E56">
        <f>IF(A56="",0,D56*C56/100/(DATE(YEAR(A56)+1,1,1)-DATE(YEAR(A56),1,1)))</f>
        <v/>
      </c>
      <c r="F56">
        <f>IF(A56="",0,SUMIF(Rechner!$A$12:$A$21,A56,Rechner!$B$12:$B$21))</f>
        <v/>
      </c>
      <c r="G56">
        <f>H55+E56</f>
        <v/>
      </c>
      <c r="H56">
        <f>G56-MIN(F56,G56)</f>
        <v/>
      </c>
      <c r="I56">
        <f>MIN(F56-MIN(F56,G56),D56)</f>
        <v/>
      </c>
      <c r="J56">
        <f>D56-I56</f>
        <v/>
      </c>
      <c r="K56">
        <f>F56-MIN(F56,G56)-I56</f>
        <v/>
      </c>
    </row>
    <row r="57">
      <c r="A57" s="21">
        <f>IF(Rechner!$E$4&lt;&gt;"ok","",IF(Rechner!$E$5+55&lt;=Rechner!$B$6,Rechner!$E$5+55,""))</f>
        <v/>
      </c>
      <c r="B57">
        <f>IF(A57="","",LOOKUP(A57,Basiszins!$A$5:$A$18,Basiszins!$B$5:$B$18))</f>
        <v/>
      </c>
      <c r="C57">
        <f>IF(A57="","",B57+Rechner!$E$7)</f>
        <v/>
      </c>
      <c r="D57">
        <f>J56</f>
        <v/>
      </c>
      <c r="E57">
        <f>IF(A57="",0,D57*C57/100/(DATE(YEAR(A57)+1,1,1)-DATE(YEAR(A57),1,1)))</f>
        <v/>
      </c>
      <c r="F57">
        <f>IF(A57="",0,SUMIF(Rechner!$A$12:$A$21,A57,Rechner!$B$12:$B$21))</f>
        <v/>
      </c>
      <c r="G57">
        <f>H56+E57</f>
        <v/>
      </c>
      <c r="H57">
        <f>G57-MIN(F57,G57)</f>
        <v/>
      </c>
      <c r="I57">
        <f>MIN(F57-MIN(F57,G57),D57)</f>
        <v/>
      </c>
      <c r="J57">
        <f>D57-I57</f>
        <v/>
      </c>
      <c r="K57">
        <f>F57-MIN(F57,G57)-I57</f>
        <v/>
      </c>
    </row>
    <row r="58">
      <c r="A58" s="21">
        <f>IF(Rechner!$E$4&lt;&gt;"ok","",IF(Rechner!$E$5+56&lt;=Rechner!$B$6,Rechner!$E$5+56,""))</f>
        <v/>
      </c>
      <c r="B58">
        <f>IF(A58="","",LOOKUP(A58,Basiszins!$A$5:$A$18,Basiszins!$B$5:$B$18))</f>
        <v/>
      </c>
      <c r="C58">
        <f>IF(A58="","",B58+Rechner!$E$7)</f>
        <v/>
      </c>
      <c r="D58">
        <f>J57</f>
        <v/>
      </c>
      <c r="E58">
        <f>IF(A58="",0,D58*C58/100/(DATE(YEAR(A58)+1,1,1)-DATE(YEAR(A58),1,1)))</f>
        <v/>
      </c>
      <c r="F58">
        <f>IF(A58="",0,SUMIF(Rechner!$A$12:$A$21,A58,Rechner!$B$12:$B$21))</f>
        <v/>
      </c>
      <c r="G58">
        <f>H57+E58</f>
        <v/>
      </c>
      <c r="H58">
        <f>G58-MIN(F58,G58)</f>
        <v/>
      </c>
      <c r="I58">
        <f>MIN(F58-MIN(F58,G58),D58)</f>
        <v/>
      </c>
      <c r="J58">
        <f>D58-I58</f>
        <v/>
      </c>
      <c r="K58">
        <f>F58-MIN(F58,G58)-I58</f>
        <v/>
      </c>
    </row>
    <row r="59">
      <c r="A59" s="21">
        <f>IF(Rechner!$E$4&lt;&gt;"ok","",IF(Rechner!$E$5+57&lt;=Rechner!$B$6,Rechner!$E$5+57,""))</f>
        <v/>
      </c>
      <c r="B59">
        <f>IF(A59="","",LOOKUP(A59,Basiszins!$A$5:$A$18,Basiszins!$B$5:$B$18))</f>
        <v/>
      </c>
      <c r="C59">
        <f>IF(A59="","",B59+Rechner!$E$7)</f>
        <v/>
      </c>
      <c r="D59">
        <f>J58</f>
        <v/>
      </c>
      <c r="E59">
        <f>IF(A59="",0,D59*C59/100/(DATE(YEAR(A59)+1,1,1)-DATE(YEAR(A59),1,1)))</f>
        <v/>
      </c>
      <c r="F59">
        <f>IF(A59="",0,SUMIF(Rechner!$A$12:$A$21,A59,Rechner!$B$12:$B$21))</f>
        <v/>
      </c>
      <c r="G59">
        <f>H58+E59</f>
        <v/>
      </c>
      <c r="H59">
        <f>G59-MIN(F59,G59)</f>
        <v/>
      </c>
      <c r="I59">
        <f>MIN(F59-MIN(F59,G59),D59)</f>
        <v/>
      </c>
      <c r="J59">
        <f>D59-I59</f>
        <v/>
      </c>
      <c r="K59">
        <f>F59-MIN(F59,G59)-I59</f>
        <v/>
      </c>
    </row>
    <row r="60">
      <c r="A60" s="21">
        <f>IF(Rechner!$E$4&lt;&gt;"ok","",IF(Rechner!$E$5+58&lt;=Rechner!$B$6,Rechner!$E$5+58,""))</f>
        <v/>
      </c>
      <c r="B60">
        <f>IF(A60="","",LOOKUP(A60,Basiszins!$A$5:$A$18,Basiszins!$B$5:$B$18))</f>
        <v/>
      </c>
      <c r="C60">
        <f>IF(A60="","",B60+Rechner!$E$7)</f>
        <v/>
      </c>
      <c r="D60">
        <f>J59</f>
        <v/>
      </c>
      <c r="E60">
        <f>IF(A60="",0,D60*C60/100/(DATE(YEAR(A60)+1,1,1)-DATE(YEAR(A60),1,1)))</f>
        <v/>
      </c>
      <c r="F60">
        <f>IF(A60="",0,SUMIF(Rechner!$A$12:$A$21,A60,Rechner!$B$12:$B$21))</f>
        <v/>
      </c>
      <c r="G60">
        <f>H59+E60</f>
        <v/>
      </c>
      <c r="H60">
        <f>G60-MIN(F60,G60)</f>
        <v/>
      </c>
      <c r="I60">
        <f>MIN(F60-MIN(F60,G60),D60)</f>
        <v/>
      </c>
      <c r="J60">
        <f>D60-I60</f>
        <v/>
      </c>
      <c r="K60">
        <f>F60-MIN(F60,G60)-I60</f>
        <v/>
      </c>
    </row>
    <row r="61">
      <c r="A61" s="21">
        <f>IF(Rechner!$E$4&lt;&gt;"ok","",IF(Rechner!$E$5+59&lt;=Rechner!$B$6,Rechner!$E$5+59,""))</f>
        <v/>
      </c>
      <c r="B61">
        <f>IF(A61="","",LOOKUP(A61,Basiszins!$A$5:$A$18,Basiszins!$B$5:$B$18))</f>
        <v/>
      </c>
      <c r="C61">
        <f>IF(A61="","",B61+Rechner!$E$7)</f>
        <v/>
      </c>
      <c r="D61">
        <f>J60</f>
        <v/>
      </c>
      <c r="E61">
        <f>IF(A61="",0,D61*C61/100/(DATE(YEAR(A61)+1,1,1)-DATE(YEAR(A61),1,1)))</f>
        <v/>
      </c>
      <c r="F61">
        <f>IF(A61="",0,SUMIF(Rechner!$A$12:$A$21,A61,Rechner!$B$12:$B$21))</f>
        <v/>
      </c>
      <c r="G61">
        <f>H60+E61</f>
        <v/>
      </c>
      <c r="H61">
        <f>G61-MIN(F61,G61)</f>
        <v/>
      </c>
      <c r="I61">
        <f>MIN(F61-MIN(F61,G61),D61)</f>
        <v/>
      </c>
      <c r="J61">
        <f>D61-I61</f>
        <v/>
      </c>
      <c r="K61">
        <f>F61-MIN(F61,G61)-I61</f>
        <v/>
      </c>
    </row>
    <row r="62">
      <c r="A62" s="21">
        <f>IF(Rechner!$E$4&lt;&gt;"ok","",IF(Rechner!$E$5+60&lt;=Rechner!$B$6,Rechner!$E$5+60,""))</f>
        <v/>
      </c>
      <c r="B62">
        <f>IF(A62="","",LOOKUP(A62,Basiszins!$A$5:$A$18,Basiszins!$B$5:$B$18))</f>
        <v/>
      </c>
      <c r="C62">
        <f>IF(A62="","",B62+Rechner!$E$7)</f>
        <v/>
      </c>
      <c r="D62">
        <f>J61</f>
        <v/>
      </c>
      <c r="E62">
        <f>IF(A62="",0,D62*C62/100/(DATE(YEAR(A62)+1,1,1)-DATE(YEAR(A62),1,1)))</f>
        <v/>
      </c>
      <c r="F62">
        <f>IF(A62="",0,SUMIF(Rechner!$A$12:$A$21,A62,Rechner!$B$12:$B$21))</f>
        <v/>
      </c>
      <c r="G62">
        <f>H61+E62</f>
        <v/>
      </c>
      <c r="H62">
        <f>G62-MIN(F62,G62)</f>
        <v/>
      </c>
      <c r="I62">
        <f>MIN(F62-MIN(F62,G62),D62)</f>
        <v/>
      </c>
      <c r="J62">
        <f>D62-I62</f>
        <v/>
      </c>
      <c r="K62">
        <f>F62-MIN(F62,G62)-I62</f>
        <v/>
      </c>
    </row>
    <row r="63">
      <c r="A63" s="21">
        <f>IF(Rechner!$E$4&lt;&gt;"ok","",IF(Rechner!$E$5+61&lt;=Rechner!$B$6,Rechner!$E$5+61,""))</f>
        <v/>
      </c>
      <c r="B63">
        <f>IF(A63="","",LOOKUP(A63,Basiszins!$A$5:$A$18,Basiszins!$B$5:$B$18))</f>
        <v/>
      </c>
      <c r="C63">
        <f>IF(A63="","",B63+Rechner!$E$7)</f>
        <v/>
      </c>
      <c r="D63">
        <f>J62</f>
        <v/>
      </c>
      <c r="E63">
        <f>IF(A63="",0,D63*C63/100/(DATE(YEAR(A63)+1,1,1)-DATE(YEAR(A63),1,1)))</f>
        <v/>
      </c>
      <c r="F63">
        <f>IF(A63="",0,SUMIF(Rechner!$A$12:$A$21,A63,Rechner!$B$12:$B$21))</f>
        <v/>
      </c>
      <c r="G63">
        <f>H62+E63</f>
        <v/>
      </c>
      <c r="H63">
        <f>G63-MIN(F63,G63)</f>
        <v/>
      </c>
      <c r="I63">
        <f>MIN(F63-MIN(F63,G63),D63)</f>
        <v/>
      </c>
      <c r="J63">
        <f>D63-I63</f>
        <v/>
      </c>
      <c r="K63">
        <f>F63-MIN(F63,G63)-I63</f>
        <v/>
      </c>
    </row>
    <row r="64">
      <c r="A64" s="21">
        <f>IF(Rechner!$E$4&lt;&gt;"ok","",IF(Rechner!$E$5+62&lt;=Rechner!$B$6,Rechner!$E$5+62,""))</f>
        <v/>
      </c>
      <c r="B64">
        <f>IF(A64="","",LOOKUP(A64,Basiszins!$A$5:$A$18,Basiszins!$B$5:$B$18))</f>
        <v/>
      </c>
      <c r="C64">
        <f>IF(A64="","",B64+Rechner!$E$7)</f>
        <v/>
      </c>
      <c r="D64">
        <f>J63</f>
        <v/>
      </c>
      <c r="E64">
        <f>IF(A64="",0,D64*C64/100/(DATE(YEAR(A64)+1,1,1)-DATE(YEAR(A64),1,1)))</f>
        <v/>
      </c>
      <c r="F64">
        <f>IF(A64="",0,SUMIF(Rechner!$A$12:$A$21,A64,Rechner!$B$12:$B$21))</f>
        <v/>
      </c>
      <c r="G64">
        <f>H63+E64</f>
        <v/>
      </c>
      <c r="H64">
        <f>G64-MIN(F64,G64)</f>
        <v/>
      </c>
      <c r="I64">
        <f>MIN(F64-MIN(F64,G64),D64)</f>
        <v/>
      </c>
      <c r="J64">
        <f>D64-I64</f>
        <v/>
      </c>
      <c r="K64">
        <f>F64-MIN(F64,G64)-I64</f>
        <v/>
      </c>
    </row>
    <row r="65">
      <c r="A65" s="21">
        <f>IF(Rechner!$E$4&lt;&gt;"ok","",IF(Rechner!$E$5+63&lt;=Rechner!$B$6,Rechner!$E$5+63,""))</f>
        <v/>
      </c>
      <c r="B65">
        <f>IF(A65="","",LOOKUP(A65,Basiszins!$A$5:$A$18,Basiszins!$B$5:$B$18))</f>
        <v/>
      </c>
      <c r="C65">
        <f>IF(A65="","",B65+Rechner!$E$7)</f>
        <v/>
      </c>
      <c r="D65">
        <f>J64</f>
        <v/>
      </c>
      <c r="E65">
        <f>IF(A65="",0,D65*C65/100/(DATE(YEAR(A65)+1,1,1)-DATE(YEAR(A65),1,1)))</f>
        <v/>
      </c>
      <c r="F65">
        <f>IF(A65="",0,SUMIF(Rechner!$A$12:$A$21,A65,Rechner!$B$12:$B$21))</f>
        <v/>
      </c>
      <c r="G65">
        <f>H64+E65</f>
        <v/>
      </c>
      <c r="H65">
        <f>G65-MIN(F65,G65)</f>
        <v/>
      </c>
      <c r="I65">
        <f>MIN(F65-MIN(F65,G65),D65)</f>
        <v/>
      </c>
      <c r="J65">
        <f>D65-I65</f>
        <v/>
      </c>
      <c r="K65">
        <f>F65-MIN(F65,G65)-I65</f>
        <v/>
      </c>
    </row>
    <row r="66">
      <c r="A66" s="21">
        <f>IF(Rechner!$E$4&lt;&gt;"ok","",IF(Rechner!$E$5+64&lt;=Rechner!$B$6,Rechner!$E$5+64,""))</f>
        <v/>
      </c>
      <c r="B66">
        <f>IF(A66="","",LOOKUP(A66,Basiszins!$A$5:$A$18,Basiszins!$B$5:$B$18))</f>
        <v/>
      </c>
      <c r="C66">
        <f>IF(A66="","",B66+Rechner!$E$7)</f>
        <v/>
      </c>
      <c r="D66">
        <f>J65</f>
        <v/>
      </c>
      <c r="E66">
        <f>IF(A66="",0,D66*C66/100/(DATE(YEAR(A66)+1,1,1)-DATE(YEAR(A66),1,1)))</f>
        <v/>
      </c>
      <c r="F66">
        <f>IF(A66="",0,SUMIF(Rechner!$A$12:$A$21,A66,Rechner!$B$12:$B$21))</f>
        <v/>
      </c>
      <c r="G66">
        <f>H65+E66</f>
        <v/>
      </c>
      <c r="H66">
        <f>G66-MIN(F66,G66)</f>
        <v/>
      </c>
      <c r="I66">
        <f>MIN(F66-MIN(F66,G66),D66)</f>
        <v/>
      </c>
      <c r="J66">
        <f>D66-I66</f>
        <v/>
      </c>
      <c r="K66">
        <f>F66-MIN(F66,G66)-I66</f>
        <v/>
      </c>
    </row>
    <row r="67">
      <c r="A67" s="21">
        <f>IF(Rechner!$E$4&lt;&gt;"ok","",IF(Rechner!$E$5+65&lt;=Rechner!$B$6,Rechner!$E$5+65,""))</f>
        <v/>
      </c>
      <c r="B67">
        <f>IF(A67="","",LOOKUP(A67,Basiszins!$A$5:$A$18,Basiszins!$B$5:$B$18))</f>
        <v/>
      </c>
      <c r="C67">
        <f>IF(A67="","",B67+Rechner!$E$7)</f>
        <v/>
      </c>
      <c r="D67">
        <f>J66</f>
        <v/>
      </c>
      <c r="E67">
        <f>IF(A67="",0,D67*C67/100/(DATE(YEAR(A67)+1,1,1)-DATE(YEAR(A67),1,1)))</f>
        <v/>
      </c>
      <c r="F67">
        <f>IF(A67="",0,SUMIF(Rechner!$A$12:$A$21,A67,Rechner!$B$12:$B$21))</f>
        <v/>
      </c>
      <c r="G67">
        <f>H66+E67</f>
        <v/>
      </c>
      <c r="H67">
        <f>G67-MIN(F67,G67)</f>
        <v/>
      </c>
      <c r="I67">
        <f>MIN(F67-MIN(F67,G67),D67)</f>
        <v/>
      </c>
      <c r="J67">
        <f>D67-I67</f>
        <v/>
      </c>
      <c r="K67">
        <f>F67-MIN(F67,G67)-I67</f>
        <v/>
      </c>
    </row>
    <row r="68">
      <c r="A68" s="21">
        <f>IF(Rechner!$E$4&lt;&gt;"ok","",IF(Rechner!$E$5+66&lt;=Rechner!$B$6,Rechner!$E$5+66,""))</f>
        <v/>
      </c>
      <c r="B68">
        <f>IF(A68="","",LOOKUP(A68,Basiszins!$A$5:$A$18,Basiszins!$B$5:$B$18))</f>
        <v/>
      </c>
      <c r="C68">
        <f>IF(A68="","",B68+Rechner!$E$7)</f>
        <v/>
      </c>
      <c r="D68">
        <f>J67</f>
        <v/>
      </c>
      <c r="E68">
        <f>IF(A68="",0,D68*C68/100/(DATE(YEAR(A68)+1,1,1)-DATE(YEAR(A68),1,1)))</f>
        <v/>
      </c>
      <c r="F68">
        <f>IF(A68="",0,SUMIF(Rechner!$A$12:$A$21,A68,Rechner!$B$12:$B$21))</f>
        <v/>
      </c>
      <c r="G68">
        <f>H67+E68</f>
        <v/>
      </c>
      <c r="H68">
        <f>G68-MIN(F68,G68)</f>
        <v/>
      </c>
      <c r="I68">
        <f>MIN(F68-MIN(F68,G68),D68)</f>
        <v/>
      </c>
      <c r="J68">
        <f>D68-I68</f>
        <v/>
      </c>
      <c r="K68">
        <f>F68-MIN(F68,G68)-I68</f>
        <v/>
      </c>
    </row>
    <row r="69">
      <c r="A69" s="21">
        <f>IF(Rechner!$E$4&lt;&gt;"ok","",IF(Rechner!$E$5+67&lt;=Rechner!$B$6,Rechner!$E$5+67,""))</f>
        <v/>
      </c>
      <c r="B69">
        <f>IF(A69="","",LOOKUP(A69,Basiszins!$A$5:$A$18,Basiszins!$B$5:$B$18))</f>
        <v/>
      </c>
      <c r="C69">
        <f>IF(A69="","",B69+Rechner!$E$7)</f>
        <v/>
      </c>
      <c r="D69">
        <f>J68</f>
        <v/>
      </c>
      <c r="E69">
        <f>IF(A69="",0,D69*C69/100/(DATE(YEAR(A69)+1,1,1)-DATE(YEAR(A69),1,1)))</f>
        <v/>
      </c>
      <c r="F69">
        <f>IF(A69="",0,SUMIF(Rechner!$A$12:$A$21,A69,Rechner!$B$12:$B$21))</f>
        <v/>
      </c>
      <c r="G69">
        <f>H68+E69</f>
        <v/>
      </c>
      <c r="H69">
        <f>G69-MIN(F69,G69)</f>
        <v/>
      </c>
      <c r="I69">
        <f>MIN(F69-MIN(F69,G69),D69)</f>
        <v/>
      </c>
      <c r="J69">
        <f>D69-I69</f>
        <v/>
      </c>
      <c r="K69">
        <f>F69-MIN(F69,G69)-I69</f>
        <v/>
      </c>
    </row>
    <row r="70">
      <c r="A70" s="21">
        <f>IF(Rechner!$E$4&lt;&gt;"ok","",IF(Rechner!$E$5+68&lt;=Rechner!$B$6,Rechner!$E$5+68,""))</f>
        <v/>
      </c>
      <c r="B70">
        <f>IF(A70="","",LOOKUP(A70,Basiszins!$A$5:$A$18,Basiszins!$B$5:$B$18))</f>
        <v/>
      </c>
      <c r="C70">
        <f>IF(A70="","",B70+Rechner!$E$7)</f>
        <v/>
      </c>
      <c r="D70">
        <f>J69</f>
        <v/>
      </c>
      <c r="E70">
        <f>IF(A70="",0,D70*C70/100/(DATE(YEAR(A70)+1,1,1)-DATE(YEAR(A70),1,1)))</f>
        <v/>
      </c>
      <c r="F70">
        <f>IF(A70="",0,SUMIF(Rechner!$A$12:$A$21,A70,Rechner!$B$12:$B$21))</f>
        <v/>
      </c>
      <c r="G70">
        <f>H69+E70</f>
        <v/>
      </c>
      <c r="H70">
        <f>G70-MIN(F70,G70)</f>
        <v/>
      </c>
      <c r="I70">
        <f>MIN(F70-MIN(F70,G70),D70)</f>
        <v/>
      </c>
      <c r="J70">
        <f>D70-I70</f>
        <v/>
      </c>
      <c r="K70">
        <f>F70-MIN(F70,G70)-I70</f>
        <v/>
      </c>
    </row>
    <row r="71">
      <c r="A71" s="21">
        <f>IF(Rechner!$E$4&lt;&gt;"ok","",IF(Rechner!$E$5+69&lt;=Rechner!$B$6,Rechner!$E$5+69,""))</f>
        <v/>
      </c>
      <c r="B71">
        <f>IF(A71="","",LOOKUP(A71,Basiszins!$A$5:$A$18,Basiszins!$B$5:$B$18))</f>
        <v/>
      </c>
      <c r="C71">
        <f>IF(A71="","",B71+Rechner!$E$7)</f>
        <v/>
      </c>
      <c r="D71">
        <f>J70</f>
        <v/>
      </c>
      <c r="E71">
        <f>IF(A71="",0,D71*C71/100/(DATE(YEAR(A71)+1,1,1)-DATE(YEAR(A71),1,1)))</f>
        <v/>
      </c>
      <c r="F71">
        <f>IF(A71="",0,SUMIF(Rechner!$A$12:$A$21,A71,Rechner!$B$12:$B$21))</f>
        <v/>
      </c>
      <c r="G71">
        <f>H70+E71</f>
        <v/>
      </c>
      <c r="H71">
        <f>G71-MIN(F71,G71)</f>
        <v/>
      </c>
      <c r="I71">
        <f>MIN(F71-MIN(F71,G71),D71)</f>
        <v/>
      </c>
      <c r="J71">
        <f>D71-I71</f>
        <v/>
      </c>
      <c r="K71">
        <f>F71-MIN(F71,G71)-I71</f>
        <v/>
      </c>
    </row>
    <row r="72">
      <c r="A72" s="21">
        <f>IF(Rechner!$E$4&lt;&gt;"ok","",IF(Rechner!$E$5+70&lt;=Rechner!$B$6,Rechner!$E$5+70,""))</f>
        <v/>
      </c>
      <c r="B72">
        <f>IF(A72="","",LOOKUP(A72,Basiszins!$A$5:$A$18,Basiszins!$B$5:$B$18))</f>
        <v/>
      </c>
      <c r="C72">
        <f>IF(A72="","",B72+Rechner!$E$7)</f>
        <v/>
      </c>
      <c r="D72">
        <f>J71</f>
        <v/>
      </c>
      <c r="E72">
        <f>IF(A72="",0,D72*C72/100/(DATE(YEAR(A72)+1,1,1)-DATE(YEAR(A72),1,1)))</f>
        <v/>
      </c>
      <c r="F72">
        <f>IF(A72="",0,SUMIF(Rechner!$A$12:$A$21,A72,Rechner!$B$12:$B$21))</f>
        <v/>
      </c>
      <c r="G72">
        <f>H71+E72</f>
        <v/>
      </c>
      <c r="H72">
        <f>G72-MIN(F72,G72)</f>
        <v/>
      </c>
      <c r="I72">
        <f>MIN(F72-MIN(F72,G72),D72)</f>
        <v/>
      </c>
      <c r="J72">
        <f>D72-I72</f>
        <v/>
      </c>
      <c r="K72">
        <f>F72-MIN(F72,G72)-I72</f>
        <v/>
      </c>
    </row>
    <row r="73">
      <c r="A73" s="21">
        <f>IF(Rechner!$E$4&lt;&gt;"ok","",IF(Rechner!$E$5+71&lt;=Rechner!$B$6,Rechner!$E$5+71,""))</f>
        <v/>
      </c>
      <c r="B73">
        <f>IF(A73="","",LOOKUP(A73,Basiszins!$A$5:$A$18,Basiszins!$B$5:$B$18))</f>
        <v/>
      </c>
      <c r="C73">
        <f>IF(A73="","",B73+Rechner!$E$7)</f>
        <v/>
      </c>
      <c r="D73">
        <f>J72</f>
        <v/>
      </c>
      <c r="E73">
        <f>IF(A73="",0,D73*C73/100/(DATE(YEAR(A73)+1,1,1)-DATE(YEAR(A73),1,1)))</f>
        <v/>
      </c>
      <c r="F73">
        <f>IF(A73="",0,SUMIF(Rechner!$A$12:$A$21,A73,Rechner!$B$12:$B$21))</f>
        <v/>
      </c>
      <c r="G73">
        <f>H72+E73</f>
        <v/>
      </c>
      <c r="H73">
        <f>G73-MIN(F73,G73)</f>
        <v/>
      </c>
      <c r="I73">
        <f>MIN(F73-MIN(F73,G73),D73)</f>
        <v/>
      </c>
      <c r="J73">
        <f>D73-I73</f>
        <v/>
      </c>
      <c r="K73">
        <f>F73-MIN(F73,G73)-I73</f>
        <v/>
      </c>
    </row>
    <row r="74">
      <c r="A74" s="21">
        <f>IF(Rechner!$E$4&lt;&gt;"ok","",IF(Rechner!$E$5+72&lt;=Rechner!$B$6,Rechner!$E$5+72,""))</f>
        <v/>
      </c>
      <c r="B74">
        <f>IF(A74="","",LOOKUP(A74,Basiszins!$A$5:$A$18,Basiszins!$B$5:$B$18))</f>
        <v/>
      </c>
      <c r="C74">
        <f>IF(A74="","",B74+Rechner!$E$7)</f>
        <v/>
      </c>
      <c r="D74">
        <f>J73</f>
        <v/>
      </c>
      <c r="E74">
        <f>IF(A74="",0,D74*C74/100/(DATE(YEAR(A74)+1,1,1)-DATE(YEAR(A74),1,1)))</f>
        <v/>
      </c>
      <c r="F74">
        <f>IF(A74="",0,SUMIF(Rechner!$A$12:$A$21,A74,Rechner!$B$12:$B$21))</f>
        <v/>
      </c>
      <c r="G74">
        <f>H73+E74</f>
        <v/>
      </c>
      <c r="H74">
        <f>G74-MIN(F74,G74)</f>
        <v/>
      </c>
      <c r="I74">
        <f>MIN(F74-MIN(F74,G74),D74)</f>
        <v/>
      </c>
      <c r="J74">
        <f>D74-I74</f>
        <v/>
      </c>
      <c r="K74">
        <f>F74-MIN(F74,G74)-I74</f>
        <v/>
      </c>
    </row>
    <row r="75">
      <c r="A75" s="21">
        <f>IF(Rechner!$E$4&lt;&gt;"ok","",IF(Rechner!$E$5+73&lt;=Rechner!$B$6,Rechner!$E$5+73,""))</f>
        <v/>
      </c>
      <c r="B75">
        <f>IF(A75="","",LOOKUP(A75,Basiszins!$A$5:$A$18,Basiszins!$B$5:$B$18))</f>
        <v/>
      </c>
      <c r="C75">
        <f>IF(A75="","",B75+Rechner!$E$7)</f>
        <v/>
      </c>
      <c r="D75">
        <f>J74</f>
        <v/>
      </c>
      <c r="E75">
        <f>IF(A75="",0,D75*C75/100/(DATE(YEAR(A75)+1,1,1)-DATE(YEAR(A75),1,1)))</f>
        <v/>
      </c>
      <c r="F75">
        <f>IF(A75="",0,SUMIF(Rechner!$A$12:$A$21,A75,Rechner!$B$12:$B$21))</f>
        <v/>
      </c>
      <c r="G75">
        <f>H74+E75</f>
        <v/>
      </c>
      <c r="H75">
        <f>G75-MIN(F75,G75)</f>
        <v/>
      </c>
      <c r="I75">
        <f>MIN(F75-MIN(F75,G75),D75)</f>
        <v/>
      </c>
      <c r="J75">
        <f>D75-I75</f>
        <v/>
      </c>
      <c r="K75">
        <f>F75-MIN(F75,G75)-I75</f>
        <v/>
      </c>
    </row>
    <row r="76">
      <c r="A76" s="21">
        <f>IF(Rechner!$E$4&lt;&gt;"ok","",IF(Rechner!$E$5+74&lt;=Rechner!$B$6,Rechner!$E$5+74,""))</f>
        <v/>
      </c>
      <c r="B76">
        <f>IF(A76="","",LOOKUP(A76,Basiszins!$A$5:$A$18,Basiszins!$B$5:$B$18))</f>
        <v/>
      </c>
      <c r="C76">
        <f>IF(A76="","",B76+Rechner!$E$7)</f>
        <v/>
      </c>
      <c r="D76">
        <f>J75</f>
        <v/>
      </c>
      <c r="E76">
        <f>IF(A76="",0,D76*C76/100/(DATE(YEAR(A76)+1,1,1)-DATE(YEAR(A76),1,1)))</f>
        <v/>
      </c>
      <c r="F76">
        <f>IF(A76="",0,SUMIF(Rechner!$A$12:$A$21,A76,Rechner!$B$12:$B$21))</f>
        <v/>
      </c>
      <c r="G76">
        <f>H75+E76</f>
        <v/>
      </c>
      <c r="H76">
        <f>G76-MIN(F76,G76)</f>
        <v/>
      </c>
      <c r="I76">
        <f>MIN(F76-MIN(F76,G76),D76)</f>
        <v/>
      </c>
      <c r="J76">
        <f>D76-I76</f>
        <v/>
      </c>
      <c r="K76">
        <f>F76-MIN(F76,G76)-I76</f>
        <v/>
      </c>
    </row>
    <row r="77">
      <c r="A77" s="21">
        <f>IF(Rechner!$E$4&lt;&gt;"ok","",IF(Rechner!$E$5+75&lt;=Rechner!$B$6,Rechner!$E$5+75,""))</f>
        <v/>
      </c>
      <c r="B77">
        <f>IF(A77="","",LOOKUP(A77,Basiszins!$A$5:$A$18,Basiszins!$B$5:$B$18))</f>
        <v/>
      </c>
      <c r="C77">
        <f>IF(A77="","",B77+Rechner!$E$7)</f>
        <v/>
      </c>
      <c r="D77">
        <f>J76</f>
        <v/>
      </c>
      <c r="E77">
        <f>IF(A77="",0,D77*C77/100/(DATE(YEAR(A77)+1,1,1)-DATE(YEAR(A77),1,1)))</f>
        <v/>
      </c>
      <c r="F77">
        <f>IF(A77="",0,SUMIF(Rechner!$A$12:$A$21,A77,Rechner!$B$12:$B$21))</f>
        <v/>
      </c>
      <c r="G77">
        <f>H76+E77</f>
        <v/>
      </c>
      <c r="H77">
        <f>G77-MIN(F77,G77)</f>
        <v/>
      </c>
      <c r="I77">
        <f>MIN(F77-MIN(F77,G77),D77)</f>
        <v/>
      </c>
      <c r="J77">
        <f>D77-I77</f>
        <v/>
      </c>
      <c r="K77">
        <f>F77-MIN(F77,G77)-I77</f>
        <v/>
      </c>
    </row>
    <row r="78">
      <c r="A78" s="21">
        <f>IF(Rechner!$E$4&lt;&gt;"ok","",IF(Rechner!$E$5+76&lt;=Rechner!$B$6,Rechner!$E$5+76,""))</f>
        <v/>
      </c>
      <c r="B78">
        <f>IF(A78="","",LOOKUP(A78,Basiszins!$A$5:$A$18,Basiszins!$B$5:$B$18))</f>
        <v/>
      </c>
      <c r="C78">
        <f>IF(A78="","",B78+Rechner!$E$7)</f>
        <v/>
      </c>
      <c r="D78">
        <f>J77</f>
        <v/>
      </c>
      <c r="E78">
        <f>IF(A78="",0,D78*C78/100/(DATE(YEAR(A78)+1,1,1)-DATE(YEAR(A78),1,1)))</f>
        <v/>
      </c>
      <c r="F78">
        <f>IF(A78="",0,SUMIF(Rechner!$A$12:$A$21,A78,Rechner!$B$12:$B$21))</f>
        <v/>
      </c>
      <c r="G78">
        <f>H77+E78</f>
        <v/>
      </c>
      <c r="H78">
        <f>G78-MIN(F78,G78)</f>
        <v/>
      </c>
      <c r="I78">
        <f>MIN(F78-MIN(F78,G78),D78)</f>
        <v/>
      </c>
      <c r="J78">
        <f>D78-I78</f>
        <v/>
      </c>
      <c r="K78">
        <f>F78-MIN(F78,G78)-I78</f>
        <v/>
      </c>
    </row>
    <row r="79">
      <c r="A79" s="21">
        <f>IF(Rechner!$E$4&lt;&gt;"ok","",IF(Rechner!$E$5+77&lt;=Rechner!$B$6,Rechner!$E$5+77,""))</f>
        <v/>
      </c>
      <c r="B79">
        <f>IF(A79="","",LOOKUP(A79,Basiszins!$A$5:$A$18,Basiszins!$B$5:$B$18))</f>
        <v/>
      </c>
      <c r="C79">
        <f>IF(A79="","",B79+Rechner!$E$7)</f>
        <v/>
      </c>
      <c r="D79">
        <f>J78</f>
        <v/>
      </c>
      <c r="E79">
        <f>IF(A79="",0,D79*C79/100/(DATE(YEAR(A79)+1,1,1)-DATE(YEAR(A79),1,1)))</f>
        <v/>
      </c>
      <c r="F79">
        <f>IF(A79="",0,SUMIF(Rechner!$A$12:$A$21,A79,Rechner!$B$12:$B$21))</f>
        <v/>
      </c>
      <c r="G79">
        <f>H78+E79</f>
        <v/>
      </c>
      <c r="H79">
        <f>G79-MIN(F79,G79)</f>
        <v/>
      </c>
      <c r="I79">
        <f>MIN(F79-MIN(F79,G79),D79)</f>
        <v/>
      </c>
      <c r="J79">
        <f>D79-I79</f>
        <v/>
      </c>
      <c r="K79">
        <f>F79-MIN(F79,G79)-I79</f>
        <v/>
      </c>
    </row>
    <row r="80">
      <c r="A80" s="21">
        <f>IF(Rechner!$E$4&lt;&gt;"ok","",IF(Rechner!$E$5+78&lt;=Rechner!$B$6,Rechner!$E$5+78,""))</f>
        <v/>
      </c>
      <c r="B80">
        <f>IF(A80="","",LOOKUP(A80,Basiszins!$A$5:$A$18,Basiszins!$B$5:$B$18))</f>
        <v/>
      </c>
      <c r="C80">
        <f>IF(A80="","",B80+Rechner!$E$7)</f>
        <v/>
      </c>
      <c r="D80">
        <f>J79</f>
        <v/>
      </c>
      <c r="E80">
        <f>IF(A80="",0,D80*C80/100/(DATE(YEAR(A80)+1,1,1)-DATE(YEAR(A80),1,1)))</f>
        <v/>
      </c>
      <c r="F80">
        <f>IF(A80="",0,SUMIF(Rechner!$A$12:$A$21,A80,Rechner!$B$12:$B$21))</f>
        <v/>
      </c>
      <c r="G80">
        <f>H79+E80</f>
        <v/>
      </c>
      <c r="H80">
        <f>G80-MIN(F80,G80)</f>
        <v/>
      </c>
      <c r="I80">
        <f>MIN(F80-MIN(F80,G80),D80)</f>
        <v/>
      </c>
      <c r="J80">
        <f>D80-I80</f>
        <v/>
      </c>
      <c r="K80">
        <f>F80-MIN(F80,G80)-I80</f>
        <v/>
      </c>
    </row>
    <row r="81">
      <c r="A81" s="21">
        <f>IF(Rechner!$E$4&lt;&gt;"ok","",IF(Rechner!$E$5+79&lt;=Rechner!$B$6,Rechner!$E$5+79,""))</f>
        <v/>
      </c>
      <c r="B81">
        <f>IF(A81="","",LOOKUP(A81,Basiszins!$A$5:$A$18,Basiszins!$B$5:$B$18))</f>
        <v/>
      </c>
      <c r="C81">
        <f>IF(A81="","",B81+Rechner!$E$7)</f>
        <v/>
      </c>
      <c r="D81">
        <f>J80</f>
        <v/>
      </c>
      <c r="E81">
        <f>IF(A81="",0,D81*C81/100/(DATE(YEAR(A81)+1,1,1)-DATE(YEAR(A81),1,1)))</f>
        <v/>
      </c>
      <c r="F81">
        <f>IF(A81="",0,SUMIF(Rechner!$A$12:$A$21,A81,Rechner!$B$12:$B$21))</f>
        <v/>
      </c>
      <c r="G81">
        <f>H80+E81</f>
        <v/>
      </c>
      <c r="H81">
        <f>G81-MIN(F81,G81)</f>
        <v/>
      </c>
      <c r="I81">
        <f>MIN(F81-MIN(F81,G81),D81)</f>
        <v/>
      </c>
      <c r="J81">
        <f>D81-I81</f>
        <v/>
      </c>
      <c r="K81">
        <f>F81-MIN(F81,G81)-I81</f>
        <v/>
      </c>
    </row>
    <row r="82">
      <c r="A82" s="21">
        <f>IF(Rechner!$E$4&lt;&gt;"ok","",IF(Rechner!$E$5+80&lt;=Rechner!$B$6,Rechner!$E$5+80,""))</f>
        <v/>
      </c>
      <c r="B82">
        <f>IF(A82="","",LOOKUP(A82,Basiszins!$A$5:$A$18,Basiszins!$B$5:$B$18))</f>
        <v/>
      </c>
      <c r="C82">
        <f>IF(A82="","",B82+Rechner!$E$7)</f>
        <v/>
      </c>
      <c r="D82">
        <f>J81</f>
        <v/>
      </c>
      <c r="E82">
        <f>IF(A82="",0,D82*C82/100/(DATE(YEAR(A82)+1,1,1)-DATE(YEAR(A82),1,1)))</f>
        <v/>
      </c>
      <c r="F82">
        <f>IF(A82="",0,SUMIF(Rechner!$A$12:$A$21,A82,Rechner!$B$12:$B$21))</f>
        <v/>
      </c>
      <c r="G82">
        <f>H81+E82</f>
        <v/>
      </c>
      <c r="H82">
        <f>G82-MIN(F82,G82)</f>
        <v/>
      </c>
      <c r="I82">
        <f>MIN(F82-MIN(F82,G82),D82)</f>
        <v/>
      </c>
      <c r="J82">
        <f>D82-I82</f>
        <v/>
      </c>
      <c r="K82">
        <f>F82-MIN(F82,G82)-I82</f>
        <v/>
      </c>
    </row>
    <row r="83">
      <c r="A83" s="21">
        <f>IF(Rechner!$E$4&lt;&gt;"ok","",IF(Rechner!$E$5+81&lt;=Rechner!$B$6,Rechner!$E$5+81,""))</f>
        <v/>
      </c>
      <c r="B83">
        <f>IF(A83="","",LOOKUP(A83,Basiszins!$A$5:$A$18,Basiszins!$B$5:$B$18))</f>
        <v/>
      </c>
      <c r="C83">
        <f>IF(A83="","",B83+Rechner!$E$7)</f>
        <v/>
      </c>
      <c r="D83">
        <f>J82</f>
        <v/>
      </c>
      <c r="E83">
        <f>IF(A83="",0,D83*C83/100/(DATE(YEAR(A83)+1,1,1)-DATE(YEAR(A83),1,1)))</f>
        <v/>
      </c>
      <c r="F83">
        <f>IF(A83="",0,SUMIF(Rechner!$A$12:$A$21,A83,Rechner!$B$12:$B$21))</f>
        <v/>
      </c>
      <c r="G83">
        <f>H82+E83</f>
        <v/>
      </c>
      <c r="H83">
        <f>G83-MIN(F83,G83)</f>
        <v/>
      </c>
      <c r="I83">
        <f>MIN(F83-MIN(F83,G83),D83)</f>
        <v/>
      </c>
      <c r="J83">
        <f>D83-I83</f>
        <v/>
      </c>
      <c r="K83">
        <f>F83-MIN(F83,G83)-I83</f>
        <v/>
      </c>
    </row>
    <row r="84">
      <c r="A84" s="21">
        <f>IF(Rechner!$E$4&lt;&gt;"ok","",IF(Rechner!$E$5+82&lt;=Rechner!$B$6,Rechner!$E$5+82,""))</f>
        <v/>
      </c>
      <c r="B84">
        <f>IF(A84="","",LOOKUP(A84,Basiszins!$A$5:$A$18,Basiszins!$B$5:$B$18))</f>
        <v/>
      </c>
      <c r="C84">
        <f>IF(A84="","",B84+Rechner!$E$7)</f>
        <v/>
      </c>
      <c r="D84">
        <f>J83</f>
        <v/>
      </c>
      <c r="E84">
        <f>IF(A84="",0,D84*C84/100/(DATE(YEAR(A84)+1,1,1)-DATE(YEAR(A84),1,1)))</f>
        <v/>
      </c>
      <c r="F84">
        <f>IF(A84="",0,SUMIF(Rechner!$A$12:$A$21,A84,Rechner!$B$12:$B$21))</f>
        <v/>
      </c>
      <c r="G84">
        <f>H83+E84</f>
        <v/>
      </c>
      <c r="H84">
        <f>G84-MIN(F84,G84)</f>
        <v/>
      </c>
      <c r="I84">
        <f>MIN(F84-MIN(F84,G84),D84)</f>
        <v/>
      </c>
      <c r="J84">
        <f>D84-I84</f>
        <v/>
      </c>
      <c r="K84">
        <f>F84-MIN(F84,G84)-I84</f>
        <v/>
      </c>
    </row>
    <row r="85">
      <c r="A85" s="21">
        <f>IF(Rechner!$E$4&lt;&gt;"ok","",IF(Rechner!$E$5+83&lt;=Rechner!$B$6,Rechner!$E$5+83,""))</f>
        <v/>
      </c>
      <c r="B85">
        <f>IF(A85="","",LOOKUP(A85,Basiszins!$A$5:$A$18,Basiszins!$B$5:$B$18))</f>
        <v/>
      </c>
      <c r="C85">
        <f>IF(A85="","",B85+Rechner!$E$7)</f>
        <v/>
      </c>
      <c r="D85">
        <f>J84</f>
        <v/>
      </c>
      <c r="E85">
        <f>IF(A85="",0,D85*C85/100/(DATE(YEAR(A85)+1,1,1)-DATE(YEAR(A85),1,1)))</f>
        <v/>
      </c>
      <c r="F85">
        <f>IF(A85="",0,SUMIF(Rechner!$A$12:$A$21,A85,Rechner!$B$12:$B$21))</f>
        <v/>
      </c>
      <c r="G85">
        <f>H84+E85</f>
        <v/>
      </c>
      <c r="H85">
        <f>G85-MIN(F85,G85)</f>
        <v/>
      </c>
      <c r="I85">
        <f>MIN(F85-MIN(F85,G85),D85)</f>
        <v/>
      </c>
      <c r="J85">
        <f>D85-I85</f>
        <v/>
      </c>
      <c r="K85">
        <f>F85-MIN(F85,G85)-I85</f>
        <v/>
      </c>
    </row>
    <row r="86">
      <c r="A86" s="21">
        <f>IF(Rechner!$E$4&lt;&gt;"ok","",IF(Rechner!$E$5+84&lt;=Rechner!$B$6,Rechner!$E$5+84,""))</f>
        <v/>
      </c>
      <c r="B86">
        <f>IF(A86="","",LOOKUP(A86,Basiszins!$A$5:$A$18,Basiszins!$B$5:$B$18))</f>
        <v/>
      </c>
      <c r="C86">
        <f>IF(A86="","",B86+Rechner!$E$7)</f>
        <v/>
      </c>
      <c r="D86">
        <f>J85</f>
        <v/>
      </c>
      <c r="E86">
        <f>IF(A86="",0,D86*C86/100/(DATE(YEAR(A86)+1,1,1)-DATE(YEAR(A86),1,1)))</f>
        <v/>
      </c>
      <c r="F86">
        <f>IF(A86="",0,SUMIF(Rechner!$A$12:$A$21,A86,Rechner!$B$12:$B$21))</f>
        <v/>
      </c>
      <c r="G86">
        <f>H85+E86</f>
        <v/>
      </c>
      <c r="H86">
        <f>G86-MIN(F86,G86)</f>
        <v/>
      </c>
      <c r="I86">
        <f>MIN(F86-MIN(F86,G86),D86)</f>
        <v/>
      </c>
      <c r="J86">
        <f>D86-I86</f>
        <v/>
      </c>
      <c r="K86">
        <f>F86-MIN(F86,G86)-I86</f>
        <v/>
      </c>
    </row>
    <row r="87">
      <c r="A87" s="21">
        <f>IF(Rechner!$E$4&lt;&gt;"ok","",IF(Rechner!$E$5+85&lt;=Rechner!$B$6,Rechner!$E$5+85,""))</f>
        <v/>
      </c>
      <c r="B87">
        <f>IF(A87="","",LOOKUP(A87,Basiszins!$A$5:$A$18,Basiszins!$B$5:$B$18))</f>
        <v/>
      </c>
      <c r="C87">
        <f>IF(A87="","",B87+Rechner!$E$7)</f>
        <v/>
      </c>
      <c r="D87">
        <f>J86</f>
        <v/>
      </c>
      <c r="E87">
        <f>IF(A87="",0,D87*C87/100/(DATE(YEAR(A87)+1,1,1)-DATE(YEAR(A87),1,1)))</f>
        <v/>
      </c>
      <c r="F87">
        <f>IF(A87="",0,SUMIF(Rechner!$A$12:$A$21,A87,Rechner!$B$12:$B$21))</f>
        <v/>
      </c>
      <c r="G87">
        <f>H86+E87</f>
        <v/>
      </c>
      <c r="H87">
        <f>G87-MIN(F87,G87)</f>
        <v/>
      </c>
      <c r="I87">
        <f>MIN(F87-MIN(F87,G87),D87)</f>
        <v/>
      </c>
      <c r="J87">
        <f>D87-I87</f>
        <v/>
      </c>
      <c r="K87">
        <f>F87-MIN(F87,G87)-I87</f>
        <v/>
      </c>
    </row>
    <row r="88">
      <c r="A88" s="21">
        <f>IF(Rechner!$E$4&lt;&gt;"ok","",IF(Rechner!$E$5+86&lt;=Rechner!$B$6,Rechner!$E$5+86,""))</f>
        <v/>
      </c>
      <c r="B88">
        <f>IF(A88="","",LOOKUP(A88,Basiszins!$A$5:$A$18,Basiszins!$B$5:$B$18))</f>
        <v/>
      </c>
      <c r="C88">
        <f>IF(A88="","",B88+Rechner!$E$7)</f>
        <v/>
      </c>
      <c r="D88">
        <f>J87</f>
        <v/>
      </c>
      <c r="E88">
        <f>IF(A88="",0,D88*C88/100/(DATE(YEAR(A88)+1,1,1)-DATE(YEAR(A88),1,1)))</f>
        <v/>
      </c>
      <c r="F88">
        <f>IF(A88="",0,SUMIF(Rechner!$A$12:$A$21,A88,Rechner!$B$12:$B$21))</f>
        <v/>
      </c>
      <c r="G88">
        <f>H87+E88</f>
        <v/>
      </c>
      <c r="H88">
        <f>G88-MIN(F88,G88)</f>
        <v/>
      </c>
      <c r="I88">
        <f>MIN(F88-MIN(F88,G88),D88)</f>
        <v/>
      </c>
      <c r="J88">
        <f>D88-I88</f>
        <v/>
      </c>
      <c r="K88">
        <f>F88-MIN(F88,G88)-I88</f>
        <v/>
      </c>
    </row>
    <row r="89">
      <c r="A89" s="21">
        <f>IF(Rechner!$E$4&lt;&gt;"ok","",IF(Rechner!$E$5+87&lt;=Rechner!$B$6,Rechner!$E$5+87,""))</f>
        <v/>
      </c>
      <c r="B89">
        <f>IF(A89="","",LOOKUP(A89,Basiszins!$A$5:$A$18,Basiszins!$B$5:$B$18))</f>
        <v/>
      </c>
      <c r="C89">
        <f>IF(A89="","",B89+Rechner!$E$7)</f>
        <v/>
      </c>
      <c r="D89">
        <f>J88</f>
        <v/>
      </c>
      <c r="E89">
        <f>IF(A89="",0,D89*C89/100/(DATE(YEAR(A89)+1,1,1)-DATE(YEAR(A89),1,1)))</f>
        <v/>
      </c>
      <c r="F89">
        <f>IF(A89="",0,SUMIF(Rechner!$A$12:$A$21,A89,Rechner!$B$12:$B$21))</f>
        <v/>
      </c>
      <c r="G89">
        <f>H88+E89</f>
        <v/>
      </c>
      <c r="H89">
        <f>G89-MIN(F89,G89)</f>
        <v/>
      </c>
      <c r="I89">
        <f>MIN(F89-MIN(F89,G89),D89)</f>
        <v/>
      </c>
      <c r="J89">
        <f>D89-I89</f>
        <v/>
      </c>
      <c r="K89">
        <f>F89-MIN(F89,G89)-I89</f>
        <v/>
      </c>
    </row>
    <row r="90">
      <c r="A90" s="21">
        <f>IF(Rechner!$E$4&lt;&gt;"ok","",IF(Rechner!$E$5+88&lt;=Rechner!$B$6,Rechner!$E$5+88,""))</f>
        <v/>
      </c>
      <c r="B90">
        <f>IF(A90="","",LOOKUP(A90,Basiszins!$A$5:$A$18,Basiszins!$B$5:$B$18))</f>
        <v/>
      </c>
      <c r="C90">
        <f>IF(A90="","",B90+Rechner!$E$7)</f>
        <v/>
      </c>
      <c r="D90">
        <f>J89</f>
        <v/>
      </c>
      <c r="E90">
        <f>IF(A90="",0,D90*C90/100/(DATE(YEAR(A90)+1,1,1)-DATE(YEAR(A90),1,1)))</f>
        <v/>
      </c>
      <c r="F90">
        <f>IF(A90="",0,SUMIF(Rechner!$A$12:$A$21,A90,Rechner!$B$12:$B$21))</f>
        <v/>
      </c>
      <c r="G90">
        <f>H89+E90</f>
        <v/>
      </c>
      <c r="H90">
        <f>G90-MIN(F90,G90)</f>
        <v/>
      </c>
      <c r="I90">
        <f>MIN(F90-MIN(F90,G90),D90)</f>
        <v/>
      </c>
      <c r="J90">
        <f>D90-I90</f>
        <v/>
      </c>
      <c r="K90">
        <f>F90-MIN(F90,G90)-I90</f>
        <v/>
      </c>
    </row>
    <row r="91">
      <c r="A91" s="21">
        <f>IF(Rechner!$E$4&lt;&gt;"ok","",IF(Rechner!$E$5+89&lt;=Rechner!$B$6,Rechner!$E$5+89,""))</f>
        <v/>
      </c>
      <c r="B91">
        <f>IF(A91="","",LOOKUP(A91,Basiszins!$A$5:$A$18,Basiszins!$B$5:$B$18))</f>
        <v/>
      </c>
      <c r="C91">
        <f>IF(A91="","",B91+Rechner!$E$7)</f>
        <v/>
      </c>
      <c r="D91">
        <f>J90</f>
        <v/>
      </c>
      <c r="E91">
        <f>IF(A91="",0,D91*C91/100/(DATE(YEAR(A91)+1,1,1)-DATE(YEAR(A91),1,1)))</f>
        <v/>
      </c>
      <c r="F91">
        <f>IF(A91="",0,SUMIF(Rechner!$A$12:$A$21,A91,Rechner!$B$12:$B$21))</f>
        <v/>
      </c>
      <c r="G91">
        <f>H90+E91</f>
        <v/>
      </c>
      <c r="H91">
        <f>G91-MIN(F91,G91)</f>
        <v/>
      </c>
      <c r="I91">
        <f>MIN(F91-MIN(F91,G91),D91)</f>
        <v/>
      </c>
      <c r="J91">
        <f>D91-I91</f>
        <v/>
      </c>
      <c r="K91">
        <f>F91-MIN(F91,G91)-I91</f>
        <v/>
      </c>
    </row>
    <row r="92">
      <c r="A92" s="21">
        <f>IF(Rechner!$E$4&lt;&gt;"ok","",IF(Rechner!$E$5+90&lt;=Rechner!$B$6,Rechner!$E$5+90,""))</f>
        <v/>
      </c>
      <c r="B92">
        <f>IF(A92="","",LOOKUP(A92,Basiszins!$A$5:$A$18,Basiszins!$B$5:$B$18))</f>
        <v/>
      </c>
      <c r="C92">
        <f>IF(A92="","",B92+Rechner!$E$7)</f>
        <v/>
      </c>
      <c r="D92">
        <f>J91</f>
        <v/>
      </c>
      <c r="E92">
        <f>IF(A92="",0,D92*C92/100/(DATE(YEAR(A92)+1,1,1)-DATE(YEAR(A92),1,1)))</f>
        <v/>
      </c>
      <c r="F92">
        <f>IF(A92="",0,SUMIF(Rechner!$A$12:$A$21,A92,Rechner!$B$12:$B$21))</f>
        <v/>
      </c>
      <c r="G92">
        <f>H91+E92</f>
        <v/>
      </c>
      <c r="H92">
        <f>G92-MIN(F92,G92)</f>
        <v/>
      </c>
      <c r="I92">
        <f>MIN(F92-MIN(F92,G92),D92)</f>
        <v/>
      </c>
      <c r="J92">
        <f>D92-I92</f>
        <v/>
      </c>
      <c r="K92">
        <f>F92-MIN(F92,G92)-I92</f>
        <v/>
      </c>
    </row>
    <row r="93">
      <c r="A93" s="21">
        <f>IF(Rechner!$E$4&lt;&gt;"ok","",IF(Rechner!$E$5+91&lt;=Rechner!$B$6,Rechner!$E$5+91,""))</f>
        <v/>
      </c>
      <c r="B93">
        <f>IF(A93="","",LOOKUP(A93,Basiszins!$A$5:$A$18,Basiszins!$B$5:$B$18))</f>
        <v/>
      </c>
      <c r="C93">
        <f>IF(A93="","",B93+Rechner!$E$7)</f>
        <v/>
      </c>
      <c r="D93">
        <f>J92</f>
        <v/>
      </c>
      <c r="E93">
        <f>IF(A93="",0,D93*C93/100/(DATE(YEAR(A93)+1,1,1)-DATE(YEAR(A93),1,1)))</f>
        <v/>
      </c>
      <c r="F93">
        <f>IF(A93="",0,SUMIF(Rechner!$A$12:$A$21,A93,Rechner!$B$12:$B$21))</f>
        <v/>
      </c>
      <c r="G93">
        <f>H92+E93</f>
        <v/>
      </c>
      <c r="H93">
        <f>G93-MIN(F93,G93)</f>
        <v/>
      </c>
      <c r="I93">
        <f>MIN(F93-MIN(F93,G93),D93)</f>
        <v/>
      </c>
      <c r="J93">
        <f>D93-I93</f>
        <v/>
      </c>
      <c r="K93">
        <f>F93-MIN(F93,G93)-I93</f>
        <v/>
      </c>
    </row>
    <row r="94">
      <c r="A94" s="21">
        <f>IF(Rechner!$E$4&lt;&gt;"ok","",IF(Rechner!$E$5+92&lt;=Rechner!$B$6,Rechner!$E$5+92,""))</f>
        <v/>
      </c>
      <c r="B94">
        <f>IF(A94="","",LOOKUP(A94,Basiszins!$A$5:$A$18,Basiszins!$B$5:$B$18))</f>
        <v/>
      </c>
      <c r="C94">
        <f>IF(A94="","",B94+Rechner!$E$7)</f>
        <v/>
      </c>
      <c r="D94">
        <f>J93</f>
        <v/>
      </c>
      <c r="E94">
        <f>IF(A94="",0,D94*C94/100/(DATE(YEAR(A94)+1,1,1)-DATE(YEAR(A94),1,1)))</f>
        <v/>
      </c>
      <c r="F94">
        <f>IF(A94="",0,SUMIF(Rechner!$A$12:$A$21,A94,Rechner!$B$12:$B$21))</f>
        <v/>
      </c>
      <c r="G94">
        <f>H93+E94</f>
        <v/>
      </c>
      <c r="H94">
        <f>G94-MIN(F94,G94)</f>
        <v/>
      </c>
      <c r="I94">
        <f>MIN(F94-MIN(F94,G94),D94)</f>
        <v/>
      </c>
      <c r="J94">
        <f>D94-I94</f>
        <v/>
      </c>
      <c r="K94">
        <f>F94-MIN(F94,G94)-I94</f>
        <v/>
      </c>
    </row>
    <row r="95">
      <c r="A95" s="21">
        <f>IF(Rechner!$E$4&lt;&gt;"ok","",IF(Rechner!$E$5+93&lt;=Rechner!$B$6,Rechner!$E$5+93,""))</f>
        <v/>
      </c>
      <c r="B95">
        <f>IF(A95="","",LOOKUP(A95,Basiszins!$A$5:$A$18,Basiszins!$B$5:$B$18))</f>
        <v/>
      </c>
      <c r="C95">
        <f>IF(A95="","",B95+Rechner!$E$7)</f>
        <v/>
      </c>
      <c r="D95">
        <f>J94</f>
        <v/>
      </c>
      <c r="E95">
        <f>IF(A95="",0,D95*C95/100/(DATE(YEAR(A95)+1,1,1)-DATE(YEAR(A95),1,1)))</f>
        <v/>
      </c>
      <c r="F95">
        <f>IF(A95="",0,SUMIF(Rechner!$A$12:$A$21,A95,Rechner!$B$12:$B$21))</f>
        <v/>
      </c>
      <c r="G95">
        <f>H94+E95</f>
        <v/>
      </c>
      <c r="H95">
        <f>G95-MIN(F95,G95)</f>
        <v/>
      </c>
      <c r="I95">
        <f>MIN(F95-MIN(F95,G95),D95)</f>
        <v/>
      </c>
      <c r="J95">
        <f>D95-I95</f>
        <v/>
      </c>
      <c r="K95">
        <f>F95-MIN(F95,G95)-I95</f>
        <v/>
      </c>
    </row>
    <row r="96">
      <c r="A96" s="21">
        <f>IF(Rechner!$E$4&lt;&gt;"ok","",IF(Rechner!$E$5+94&lt;=Rechner!$B$6,Rechner!$E$5+94,""))</f>
        <v/>
      </c>
      <c r="B96">
        <f>IF(A96="","",LOOKUP(A96,Basiszins!$A$5:$A$18,Basiszins!$B$5:$B$18))</f>
        <v/>
      </c>
      <c r="C96">
        <f>IF(A96="","",B96+Rechner!$E$7)</f>
        <v/>
      </c>
      <c r="D96">
        <f>J95</f>
        <v/>
      </c>
      <c r="E96">
        <f>IF(A96="",0,D96*C96/100/(DATE(YEAR(A96)+1,1,1)-DATE(YEAR(A96),1,1)))</f>
        <v/>
      </c>
      <c r="F96">
        <f>IF(A96="",0,SUMIF(Rechner!$A$12:$A$21,A96,Rechner!$B$12:$B$21))</f>
        <v/>
      </c>
      <c r="G96">
        <f>H95+E96</f>
        <v/>
      </c>
      <c r="H96">
        <f>G96-MIN(F96,G96)</f>
        <v/>
      </c>
      <c r="I96">
        <f>MIN(F96-MIN(F96,G96),D96)</f>
        <v/>
      </c>
      <c r="J96">
        <f>D96-I96</f>
        <v/>
      </c>
      <c r="K96">
        <f>F96-MIN(F96,G96)-I96</f>
        <v/>
      </c>
    </row>
    <row r="97">
      <c r="A97" s="21">
        <f>IF(Rechner!$E$4&lt;&gt;"ok","",IF(Rechner!$E$5+95&lt;=Rechner!$B$6,Rechner!$E$5+95,""))</f>
        <v/>
      </c>
      <c r="B97">
        <f>IF(A97="","",LOOKUP(A97,Basiszins!$A$5:$A$18,Basiszins!$B$5:$B$18))</f>
        <v/>
      </c>
      <c r="C97">
        <f>IF(A97="","",B97+Rechner!$E$7)</f>
        <v/>
      </c>
      <c r="D97">
        <f>J96</f>
        <v/>
      </c>
      <c r="E97">
        <f>IF(A97="",0,D97*C97/100/(DATE(YEAR(A97)+1,1,1)-DATE(YEAR(A97),1,1)))</f>
        <v/>
      </c>
      <c r="F97">
        <f>IF(A97="",0,SUMIF(Rechner!$A$12:$A$21,A97,Rechner!$B$12:$B$21))</f>
        <v/>
      </c>
      <c r="G97">
        <f>H96+E97</f>
        <v/>
      </c>
      <c r="H97">
        <f>G97-MIN(F97,G97)</f>
        <v/>
      </c>
      <c r="I97">
        <f>MIN(F97-MIN(F97,G97),D97)</f>
        <v/>
      </c>
      <c r="J97">
        <f>D97-I97</f>
        <v/>
      </c>
      <c r="K97">
        <f>F97-MIN(F97,G97)-I97</f>
        <v/>
      </c>
    </row>
    <row r="98">
      <c r="A98" s="21">
        <f>IF(Rechner!$E$4&lt;&gt;"ok","",IF(Rechner!$E$5+96&lt;=Rechner!$B$6,Rechner!$E$5+96,""))</f>
        <v/>
      </c>
      <c r="B98">
        <f>IF(A98="","",LOOKUP(A98,Basiszins!$A$5:$A$18,Basiszins!$B$5:$B$18))</f>
        <v/>
      </c>
      <c r="C98">
        <f>IF(A98="","",B98+Rechner!$E$7)</f>
        <v/>
      </c>
      <c r="D98">
        <f>J97</f>
        <v/>
      </c>
      <c r="E98">
        <f>IF(A98="",0,D98*C98/100/(DATE(YEAR(A98)+1,1,1)-DATE(YEAR(A98),1,1)))</f>
        <v/>
      </c>
      <c r="F98">
        <f>IF(A98="",0,SUMIF(Rechner!$A$12:$A$21,A98,Rechner!$B$12:$B$21))</f>
        <v/>
      </c>
      <c r="G98">
        <f>H97+E98</f>
        <v/>
      </c>
      <c r="H98">
        <f>G98-MIN(F98,G98)</f>
        <v/>
      </c>
      <c r="I98">
        <f>MIN(F98-MIN(F98,G98),D98)</f>
        <v/>
      </c>
      <c r="J98">
        <f>D98-I98</f>
        <v/>
      </c>
      <c r="K98">
        <f>F98-MIN(F98,G98)-I98</f>
        <v/>
      </c>
    </row>
    <row r="99">
      <c r="A99" s="21">
        <f>IF(Rechner!$E$4&lt;&gt;"ok","",IF(Rechner!$E$5+97&lt;=Rechner!$B$6,Rechner!$E$5+97,""))</f>
        <v/>
      </c>
      <c r="B99">
        <f>IF(A99="","",LOOKUP(A99,Basiszins!$A$5:$A$18,Basiszins!$B$5:$B$18))</f>
        <v/>
      </c>
      <c r="C99">
        <f>IF(A99="","",B99+Rechner!$E$7)</f>
        <v/>
      </c>
      <c r="D99">
        <f>J98</f>
        <v/>
      </c>
      <c r="E99">
        <f>IF(A99="",0,D99*C99/100/(DATE(YEAR(A99)+1,1,1)-DATE(YEAR(A99),1,1)))</f>
        <v/>
      </c>
      <c r="F99">
        <f>IF(A99="",0,SUMIF(Rechner!$A$12:$A$21,A99,Rechner!$B$12:$B$21))</f>
        <v/>
      </c>
      <c r="G99">
        <f>H98+E99</f>
        <v/>
      </c>
      <c r="H99">
        <f>G99-MIN(F99,G99)</f>
        <v/>
      </c>
      <c r="I99">
        <f>MIN(F99-MIN(F99,G99),D99)</f>
        <v/>
      </c>
      <c r="J99">
        <f>D99-I99</f>
        <v/>
      </c>
      <c r="K99">
        <f>F99-MIN(F99,G99)-I99</f>
        <v/>
      </c>
    </row>
    <row r="100">
      <c r="A100" s="21">
        <f>IF(Rechner!$E$4&lt;&gt;"ok","",IF(Rechner!$E$5+98&lt;=Rechner!$B$6,Rechner!$E$5+98,""))</f>
        <v/>
      </c>
      <c r="B100">
        <f>IF(A100="","",LOOKUP(A100,Basiszins!$A$5:$A$18,Basiszins!$B$5:$B$18))</f>
        <v/>
      </c>
      <c r="C100">
        <f>IF(A100="","",B100+Rechner!$E$7)</f>
        <v/>
      </c>
      <c r="D100">
        <f>J99</f>
        <v/>
      </c>
      <c r="E100">
        <f>IF(A100="",0,D100*C100/100/(DATE(YEAR(A100)+1,1,1)-DATE(YEAR(A100),1,1)))</f>
        <v/>
      </c>
      <c r="F100">
        <f>IF(A100="",0,SUMIF(Rechner!$A$12:$A$21,A100,Rechner!$B$12:$B$21))</f>
        <v/>
      </c>
      <c r="G100">
        <f>H99+E100</f>
        <v/>
      </c>
      <c r="H100">
        <f>G100-MIN(F100,G100)</f>
        <v/>
      </c>
      <c r="I100">
        <f>MIN(F100-MIN(F100,G100),D100)</f>
        <v/>
      </c>
      <c r="J100">
        <f>D100-I100</f>
        <v/>
      </c>
      <c r="K100">
        <f>F100-MIN(F100,G100)-I100</f>
        <v/>
      </c>
    </row>
    <row r="101">
      <c r="A101" s="21">
        <f>IF(Rechner!$E$4&lt;&gt;"ok","",IF(Rechner!$E$5+99&lt;=Rechner!$B$6,Rechner!$E$5+99,""))</f>
        <v/>
      </c>
      <c r="B101">
        <f>IF(A101="","",LOOKUP(A101,Basiszins!$A$5:$A$18,Basiszins!$B$5:$B$18))</f>
        <v/>
      </c>
      <c r="C101">
        <f>IF(A101="","",B101+Rechner!$E$7)</f>
        <v/>
      </c>
      <c r="D101">
        <f>J100</f>
        <v/>
      </c>
      <c r="E101">
        <f>IF(A101="",0,D101*C101/100/(DATE(YEAR(A101)+1,1,1)-DATE(YEAR(A101),1,1)))</f>
        <v/>
      </c>
      <c r="F101">
        <f>IF(A101="",0,SUMIF(Rechner!$A$12:$A$21,A101,Rechner!$B$12:$B$21))</f>
        <v/>
      </c>
      <c r="G101">
        <f>H100+E101</f>
        <v/>
      </c>
      <c r="H101">
        <f>G101-MIN(F101,G101)</f>
        <v/>
      </c>
      <c r="I101">
        <f>MIN(F101-MIN(F101,G101),D101)</f>
        <v/>
      </c>
      <c r="J101">
        <f>D101-I101</f>
        <v/>
      </c>
      <c r="K101">
        <f>F101-MIN(F101,G101)-I101</f>
        <v/>
      </c>
    </row>
    <row r="102">
      <c r="A102" s="21">
        <f>IF(Rechner!$E$4&lt;&gt;"ok","",IF(Rechner!$E$5+100&lt;=Rechner!$B$6,Rechner!$E$5+100,""))</f>
        <v/>
      </c>
      <c r="B102">
        <f>IF(A102="","",LOOKUP(A102,Basiszins!$A$5:$A$18,Basiszins!$B$5:$B$18))</f>
        <v/>
      </c>
      <c r="C102">
        <f>IF(A102="","",B102+Rechner!$E$7)</f>
        <v/>
      </c>
      <c r="D102">
        <f>J101</f>
        <v/>
      </c>
      <c r="E102">
        <f>IF(A102="",0,D102*C102/100/(DATE(YEAR(A102)+1,1,1)-DATE(YEAR(A102),1,1)))</f>
        <v/>
      </c>
      <c r="F102">
        <f>IF(A102="",0,SUMIF(Rechner!$A$12:$A$21,A102,Rechner!$B$12:$B$21))</f>
        <v/>
      </c>
      <c r="G102">
        <f>H101+E102</f>
        <v/>
      </c>
      <c r="H102">
        <f>G102-MIN(F102,G102)</f>
        <v/>
      </c>
      <c r="I102">
        <f>MIN(F102-MIN(F102,G102),D102)</f>
        <v/>
      </c>
      <c r="J102">
        <f>D102-I102</f>
        <v/>
      </c>
      <c r="K102">
        <f>F102-MIN(F102,G102)-I102</f>
        <v/>
      </c>
    </row>
    <row r="103">
      <c r="A103" s="21">
        <f>IF(Rechner!$E$4&lt;&gt;"ok","",IF(Rechner!$E$5+101&lt;=Rechner!$B$6,Rechner!$E$5+101,""))</f>
        <v/>
      </c>
      <c r="B103">
        <f>IF(A103="","",LOOKUP(A103,Basiszins!$A$5:$A$18,Basiszins!$B$5:$B$18))</f>
        <v/>
      </c>
      <c r="C103">
        <f>IF(A103="","",B103+Rechner!$E$7)</f>
        <v/>
      </c>
      <c r="D103">
        <f>J102</f>
        <v/>
      </c>
      <c r="E103">
        <f>IF(A103="",0,D103*C103/100/(DATE(YEAR(A103)+1,1,1)-DATE(YEAR(A103),1,1)))</f>
        <v/>
      </c>
      <c r="F103">
        <f>IF(A103="",0,SUMIF(Rechner!$A$12:$A$21,A103,Rechner!$B$12:$B$21))</f>
        <v/>
      </c>
      <c r="G103">
        <f>H102+E103</f>
        <v/>
      </c>
      <c r="H103">
        <f>G103-MIN(F103,G103)</f>
        <v/>
      </c>
      <c r="I103">
        <f>MIN(F103-MIN(F103,G103),D103)</f>
        <v/>
      </c>
      <c r="J103">
        <f>D103-I103</f>
        <v/>
      </c>
      <c r="K103">
        <f>F103-MIN(F103,G103)-I103</f>
        <v/>
      </c>
    </row>
    <row r="104">
      <c r="A104" s="21">
        <f>IF(Rechner!$E$4&lt;&gt;"ok","",IF(Rechner!$E$5+102&lt;=Rechner!$B$6,Rechner!$E$5+102,""))</f>
        <v/>
      </c>
      <c r="B104">
        <f>IF(A104="","",LOOKUP(A104,Basiszins!$A$5:$A$18,Basiszins!$B$5:$B$18))</f>
        <v/>
      </c>
      <c r="C104">
        <f>IF(A104="","",B104+Rechner!$E$7)</f>
        <v/>
      </c>
      <c r="D104">
        <f>J103</f>
        <v/>
      </c>
      <c r="E104">
        <f>IF(A104="",0,D104*C104/100/(DATE(YEAR(A104)+1,1,1)-DATE(YEAR(A104),1,1)))</f>
        <v/>
      </c>
      <c r="F104">
        <f>IF(A104="",0,SUMIF(Rechner!$A$12:$A$21,A104,Rechner!$B$12:$B$21))</f>
        <v/>
      </c>
      <c r="G104">
        <f>H103+E104</f>
        <v/>
      </c>
      <c r="H104">
        <f>G104-MIN(F104,G104)</f>
        <v/>
      </c>
      <c r="I104">
        <f>MIN(F104-MIN(F104,G104),D104)</f>
        <v/>
      </c>
      <c r="J104">
        <f>D104-I104</f>
        <v/>
      </c>
      <c r="K104">
        <f>F104-MIN(F104,G104)-I104</f>
        <v/>
      </c>
    </row>
    <row r="105">
      <c r="A105" s="21">
        <f>IF(Rechner!$E$4&lt;&gt;"ok","",IF(Rechner!$E$5+103&lt;=Rechner!$B$6,Rechner!$E$5+103,""))</f>
        <v/>
      </c>
      <c r="B105">
        <f>IF(A105="","",LOOKUP(A105,Basiszins!$A$5:$A$18,Basiszins!$B$5:$B$18))</f>
        <v/>
      </c>
      <c r="C105">
        <f>IF(A105="","",B105+Rechner!$E$7)</f>
        <v/>
      </c>
      <c r="D105">
        <f>J104</f>
        <v/>
      </c>
      <c r="E105">
        <f>IF(A105="",0,D105*C105/100/(DATE(YEAR(A105)+1,1,1)-DATE(YEAR(A105),1,1)))</f>
        <v/>
      </c>
      <c r="F105">
        <f>IF(A105="",0,SUMIF(Rechner!$A$12:$A$21,A105,Rechner!$B$12:$B$21))</f>
        <v/>
      </c>
      <c r="G105">
        <f>H104+E105</f>
        <v/>
      </c>
      <c r="H105">
        <f>G105-MIN(F105,G105)</f>
        <v/>
      </c>
      <c r="I105">
        <f>MIN(F105-MIN(F105,G105),D105)</f>
        <v/>
      </c>
      <c r="J105">
        <f>D105-I105</f>
        <v/>
      </c>
      <c r="K105">
        <f>F105-MIN(F105,G105)-I105</f>
        <v/>
      </c>
    </row>
    <row r="106">
      <c r="A106" s="21">
        <f>IF(Rechner!$E$4&lt;&gt;"ok","",IF(Rechner!$E$5+104&lt;=Rechner!$B$6,Rechner!$E$5+104,""))</f>
        <v/>
      </c>
      <c r="B106">
        <f>IF(A106="","",LOOKUP(A106,Basiszins!$A$5:$A$18,Basiszins!$B$5:$B$18))</f>
        <v/>
      </c>
      <c r="C106">
        <f>IF(A106="","",B106+Rechner!$E$7)</f>
        <v/>
      </c>
      <c r="D106">
        <f>J105</f>
        <v/>
      </c>
      <c r="E106">
        <f>IF(A106="",0,D106*C106/100/(DATE(YEAR(A106)+1,1,1)-DATE(YEAR(A106),1,1)))</f>
        <v/>
      </c>
      <c r="F106">
        <f>IF(A106="",0,SUMIF(Rechner!$A$12:$A$21,A106,Rechner!$B$12:$B$21))</f>
        <v/>
      </c>
      <c r="G106">
        <f>H105+E106</f>
        <v/>
      </c>
      <c r="H106">
        <f>G106-MIN(F106,G106)</f>
        <v/>
      </c>
      <c r="I106">
        <f>MIN(F106-MIN(F106,G106),D106)</f>
        <v/>
      </c>
      <c r="J106">
        <f>D106-I106</f>
        <v/>
      </c>
      <c r="K106">
        <f>F106-MIN(F106,G106)-I106</f>
        <v/>
      </c>
    </row>
    <row r="107">
      <c r="A107" s="21">
        <f>IF(Rechner!$E$4&lt;&gt;"ok","",IF(Rechner!$E$5+105&lt;=Rechner!$B$6,Rechner!$E$5+105,""))</f>
        <v/>
      </c>
      <c r="B107">
        <f>IF(A107="","",LOOKUP(A107,Basiszins!$A$5:$A$18,Basiszins!$B$5:$B$18))</f>
        <v/>
      </c>
      <c r="C107">
        <f>IF(A107="","",B107+Rechner!$E$7)</f>
        <v/>
      </c>
      <c r="D107">
        <f>J106</f>
        <v/>
      </c>
      <c r="E107">
        <f>IF(A107="",0,D107*C107/100/(DATE(YEAR(A107)+1,1,1)-DATE(YEAR(A107),1,1)))</f>
        <v/>
      </c>
      <c r="F107">
        <f>IF(A107="",0,SUMIF(Rechner!$A$12:$A$21,A107,Rechner!$B$12:$B$21))</f>
        <v/>
      </c>
      <c r="G107">
        <f>H106+E107</f>
        <v/>
      </c>
      <c r="H107">
        <f>G107-MIN(F107,G107)</f>
        <v/>
      </c>
      <c r="I107">
        <f>MIN(F107-MIN(F107,G107),D107)</f>
        <v/>
      </c>
      <c r="J107">
        <f>D107-I107</f>
        <v/>
      </c>
      <c r="K107">
        <f>F107-MIN(F107,G107)-I107</f>
        <v/>
      </c>
    </row>
    <row r="108">
      <c r="A108" s="21">
        <f>IF(Rechner!$E$4&lt;&gt;"ok","",IF(Rechner!$E$5+106&lt;=Rechner!$B$6,Rechner!$E$5+106,""))</f>
        <v/>
      </c>
      <c r="B108">
        <f>IF(A108="","",LOOKUP(A108,Basiszins!$A$5:$A$18,Basiszins!$B$5:$B$18))</f>
        <v/>
      </c>
      <c r="C108">
        <f>IF(A108="","",B108+Rechner!$E$7)</f>
        <v/>
      </c>
      <c r="D108">
        <f>J107</f>
        <v/>
      </c>
      <c r="E108">
        <f>IF(A108="",0,D108*C108/100/(DATE(YEAR(A108)+1,1,1)-DATE(YEAR(A108),1,1)))</f>
        <v/>
      </c>
      <c r="F108">
        <f>IF(A108="",0,SUMIF(Rechner!$A$12:$A$21,A108,Rechner!$B$12:$B$21))</f>
        <v/>
      </c>
      <c r="G108">
        <f>H107+E108</f>
        <v/>
      </c>
      <c r="H108">
        <f>G108-MIN(F108,G108)</f>
        <v/>
      </c>
      <c r="I108">
        <f>MIN(F108-MIN(F108,G108),D108)</f>
        <v/>
      </c>
      <c r="J108">
        <f>D108-I108</f>
        <v/>
      </c>
      <c r="K108">
        <f>F108-MIN(F108,G108)-I108</f>
        <v/>
      </c>
    </row>
    <row r="109">
      <c r="A109" s="21">
        <f>IF(Rechner!$E$4&lt;&gt;"ok","",IF(Rechner!$E$5+107&lt;=Rechner!$B$6,Rechner!$E$5+107,""))</f>
        <v/>
      </c>
      <c r="B109">
        <f>IF(A109="","",LOOKUP(A109,Basiszins!$A$5:$A$18,Basiszins!$B$5:$B$18))</f>
        <v/>
      </c>
      <c r="C109">
        <f>IF(A109="","",B109+Rechner!$E$7)</f>
        <v/>
      </c>
      <c r="D109">
        <f>J108</f>
        <v/>
      </c>
      <c r="E109">
        <f>IF(A109="",0,D109*C109/100/(DATE(YEAR(A109)+1,1,1)-DATE(YEAR(A109),1,1)))</f>
        <v/>
      </c>
      <c r="F109">
        <f>IF(A109="",0,SUMIF(Rechner!$A$12:$A$21,A109,Rechner!$B$12:$B$21))</f>
        <v/>
      </c>
      <c r="G109">
        <f>H108+E109</f>
        <v/>
      </c>
      <c r="H109">
        <f>G109-MIN(F109,G109)</f>
        <v/>
      </c>
      <c r="I109">
        <f>MIN(F109-MIN(F109,G109),D109)</f>
        <v/>
      </c>
      <c r="J109">
        <f>D109-I109</f>
        <v/>
      </c>
      <c r="K109">
        <f>F109-MIN(F109,G109)-I109</f>
        <v/>
      </c>
    </row>
    <row r="110">
      <c r="A110" s="21">
        <f>IF(Rechner!$E$4&lt;&gt;"ok","",IF(Rechner!$E$5+108&lt;=Rechner!$B$6,Rechner!$E$5+108,""))</f>
        <v/>
      </c>
      <c r="B110">
        <f>IF(A110="","",LOOKUP(A110,Basiszins!$A$5:$A$18,Basiszins!$B$5:$B$18))</f>
        <v/>
      </c>
      <c r="C110">
        <f>IF(A110="","",B110+Rechner!$E$7)</f>
        <v/>
      </c>
      <c r="D110">
        <f>J109</f>
        <v/>
      </c>
      <c r="E110">
        <f>IF(A110="",0,D110*C110/100/(DATE(YEAR(A110)+1,1,1)-DATE(YEAR(A110),1,1)))</f>
        <v/>
      </c>
      <c r="F110">
        <f>IF(A110="",0,SUMIF(Rechner!$A$12:$A$21,A110,Rechner!$B$12:$B$21))</f>
        <v/>
      </c>
      <c r="G110">
        <f>H109+E110</f>
        <v/>
      </c>
      <c r="H110">
        <f>G110-MIN(F110,G110)</f>
        <v/>
      </c>
      <c r="I110">
        <f>MIN(F110-MIN(F110,G110),D110)</f>
        <v/>
      </c>
      <c r="J110">
        <f>D110-I110</f>
        <v/>
      </c>
      <c r="K110">
        <f>F110-MIN(F110,G110)-I110</f>
        <v/>
      </c>
    </row>
    <row r="111">
      <c r="A111" s="21">
        <f>IF(Rechner!$E$4&lt;&gt;"ok","",IF(Rechner!$E$5+109&lt;=Rechner!$B$6,Rechner!$E$5+109,""))</f>
        <v/>
      </c>
      <c r="B111">
        <f>IF(A111="","",LOOKUP(A111,Basiszins!$A$5:$A$18,Basiszins!$B$5:$B$18))</f>
        <v/>
      </c>
      <c r="C111">
        <f>IF(A111="","",B111+Rechner!$E$7)</f>
        <v/>
      </c>
      <c r="D111">
        <f>J110</f>
        <v/>
      </c>
      <c r="E111">
        <f>IF(A111="",0,D111*C111/100/(DATE(YEAR(A111)+1,1,1)-DATE(YEAR(A111),1,1)))</f>
        <v/>
      </c>
      <c r="F111">
        <f>IF(A111="",0,SUMIF(Rechner!$A$12:$A$21,A111,Rechner!$B$12:$B$21))</f>
        <v/>
      </c>
      <c r="G111">
        <f>H110+E111</f>
        <v/>
      </c>
      <c r="H111">
        <f>G111-MIN(F111,G111)</f>
        <v/>
      </c>
      <c r="I111">
        <f>MIN(F111-MIN(F111,G111),D111)</f>
        <v/>
      </c>
      <c r="J111">
        <f>D111-I111</f>
        <v/>
      </c>
      <c r="K111">
        <f>F111-MIN(F111,G111)-I111</f>
        <v/>
      </c>
    </row>
    <row r="112">
      <c r="A112" s="21">
        <f>IF(Rechner!$E$4&lt;&gt;"ok","",IF(Rechner!$E$5+110&lt;=Rechner!$B$6,Rechner!$E$5+110,""))</f>
        <v/>
      </c>
      <c r="B112">
        <f>IF(A112="","",LOOKUP(A112,Basiszins!$A$5:$A$18,Basiszins!$B$5:$B$18))</f>
        <v/>
      </c>
      <c r="C112">
        <f>IF(A112="","",B112+Rechner!$E$7)</f>
        <v/>
      </c>
      <c r="D112">
        <f>J111</f>
        <v/>
      </c>
      <c r="E112">
        <f>IF(A112="",0,D112*C112/100/(DATE(YEAR(A112)+1,1,1)-DATE(YEAR(A112),1,1)))</f>
        <v/>
      </c>
      <c r="F112">
        <f>IF(A112="",0,SUMIF(Rechner!$A$12:$A$21,A112,Rechner!$B$12:$B$21))</f>
        <v/>
      </c>
      <c r="G112">
        <f>H111+E112</f>
        <v/>
      </c>
      <c r="H112">
        <f>G112-MIN(F112,G112)</f>
        <v/>
      </c>
      <c r="I112">
        <f>MIN(F112-MIN(F112,G112),D112)</f>
        <v/>
      </c>
      <c r="J112">
        <f>D112-I112</f>
        <v/>
      </c>
      <c r="K112">
        <f>F112-MIN(F112,G112)-I112</f>
        <v/>
      </c>
    </row>
    <row r="113">
      <c r="A113" s="21">
        <f>IF(Rechner!$E$4&lt;&gt;"ok","",IF(Rechner!$E$5+111&lt;=Rechner!$B$6,Rechner!$E$5+111,""))</f>
        <v/>
      </c>
      <c r="B113">
        <f>IF(A113="","",LOOKUP(A113,Basiszins!$A$5:$A$18,Basiszins!$B$5:$B$18))</f>
        <v/>
      </c>
      <c r="C113">
        <f>IF(A113="","",B113+Rechner!$E$7)</f>
        <v/>
      </c>
      <c r="D113">
        <f>J112</f>
        <v/>
      </c>
      <c r="E113">
        <f>IF(A113="",0,D113*C113/100/(DATE(YEAR(A113)+1,1,1)-DATE(YEAR(A113),1,1)))</f>
        <v/>
      </c>
      <c r="F113">
        <f>IF(A113="",0,SUMIF(Rechner!$A$12:$A$21,A113,Rechner!$B$12:$B$21))</f>
        <v/>
      </c>
      <c r="G113">
        <f>H112+E113</f>
        <v/>
      </c>
      <c r="H113">
        <f>G113-MIN(F113,G113)</f>
        <v/>
      </c>
      <c r="I113">
        <f>MIN(F113-MIN(F113,G113),D113)</f>
        <v/>
      </c>
      <c r="J113">
        <f>D113-I113</f>
        <v/>
      </c>
      <c r="K113">
        <f>F113-MIN(F113,G113)-I113</f>
        <v/>
      </c>
    </row>
    <row r="114">
      <c r="A114" s="21">
        <f>IF(Rechner!$E$4&lt;&gt;"ok","",IF(Rechner!$E$5+112&lt;=Rechner!$B$6,Rechner!$E$5+112,""))</f>
        <v/>
      </c>
      <c r="B114">
        <f>IF(A114="","",LOOKUP(A114,Basiszins!$A$5:$A$18,Basiszins!$B$5:$B$18))</f>
        <v/>
      </c>
      <c r="C114">
        <f>IF(A114="","",B114+Rechner!$E$7)</f>
        <v/>
      </c>
      <c r="D114">
        <f>J113</f>
        <v/>
      </c>
      <c r="E114">
        <f>IF(A114="",0,D114*C114/100/(DATE(YEAR(A114)+1,1,1)-DATE(YEAR(A114),1,1)))</f>
        <v/>
      </c>
      <c r="F114">
        <f>IF(A114="",0,SUMIF(Rechner!$A$12:$A$21,A114,Rechner!$B$12:$B$21))</f>
        <v/>
      </c>
      <c r="G114">
        <f>H113+E114</f>
        <v/>
      </c>
      <c r="H114">
        <f>G114-MIN(F114,G114)</f>
        <v/>
      </c>
      <c r="I114">
        <f>MIN(F114-MIN(F114,G114),D114)</f>
        <v/>
      </c>
      <c r="J114">
        <f>D114-I114</f>
        <v/>
      </c>
      <c r="K114">
        <f>F114-MIN(F114,G114)-I114</f>
        <v/>
      </c>
    </row>
    <row r="115">
      <c r="A115" s="21">
        <f>IF(Rechner!$E$4&lt;&gt;"ok","",IF(Rechner!$E$5+113&lt;=Rechner!$B$6,Rechner!$E$5+113,""))</f>
        <v/>
      </c>
      <c r="B115">
        <f>IF(A115="","",LOOKUP(A115,Basiszins!$A$5:$A$18,Basiszins!$B$5:$B$18))</f>
        <v/>
      </c>
      <c r="C115">
        <f>IF(A115="","",B115+Rechner!$E$7)</f>
        <v/>
      </c>
      <c r="D115">
        <f>J114</f>
        <v/>
      </c>
      <c r="E115">
        <f>IF(A115="",0,D115*C115/100/(DATE(YEAR(A115)+1,1,1)-DATE(YEAR(A115),1,1)))</f>
        <v/>
      </c>
      <c r="F115">
        <f>IF(A115="",0,SUMIF(Rechner!$A$12:$A$21,A115,Rechner!$B$12:$B$21))</f>
        <v/>
      </c>
      <c r="G115">
        <f>H114+E115</f>
        <v/>
      </c>
      <c r="H115">
        <f>G115-MIN(F115,G115)</f>
        <v/>
      </c>
      <c r="I115">
        <f>MIN(F115-MIN(F115,G115),D115)</f>
        <v/>
      </c>
      <c r="J115">
        <f>D115-I115</f>
        <v/>
      </c>
      <c r="K115">
        <f>F115-MIN(F115,G115)-I115</f>
        <v/>
      </c>
    </row>
    <row r="116">
      <c r="A116" s="21">
        <f>IF(Rechner!$E$4&lt;&gt;"ok","",IF(Rechner!$E$5+114&lt;=Rechner!$B$6,Rechner!$E$5+114,""))</f>
        <v/>
      </c>
      <c r="B116">
        <f>IF(A116="","",LOOKUP(A116,Basiszins!$A$5:$A$18,Basiszins!$B$5:$B$18))</f>
        <v/>
      </c>
      <c r="C116">
        <f>IF(A116="","",B116+Rechner!$E$7)</f>
        <v/>
      </c>
      <c r="D116">
        <f>J115</f>
        <v/>
      </c>
      <c r="E116">
        <f>IF(A116="",0,D116*C116/100/(DATE(YEAR(A116)+1,1,1)-DATE(YEAR(A116),1,1)))</f>
        <v/>
      </c>
      <c r="F116">
        <f>IF(A116="",0,SUMIF(Rechner!$A$12:$A$21,A116,Rechner!$B$12:$B$21))</f>
        <v/>
      </c>
      <c r="G116">
        <f>H115+E116</f>
        <v/>
      </c>
      <c r="H116">
        <f>G116-MIN(F116,G116)</f>
        <v/>
      </c>
      <c r="I116">
        <f>MIN(F116-MIN(F116,G116),D116)</f>
        <v/>
      </c>
      <c r="J116">
        <f>D116-I116</f>
        <v/>
      </c>
      <c r="K116">
        <f>F116-MIN(F116,G116)-I116</f>
        <v/>
      </c>
    </row>
    <row r="117">
      <c r="A117" s="21">
        <f>IF(Rechner!$E$4&lt;&gt;"ok","",IF(Rechner!$E$5+115&lt;=Rechner!$B$6,Rechner!$E$5+115,""))</f>
        <v/>
      </c>
      <c r="B117">
        <f>IF(A117="","",LOOKUP(A117,Basiszins!$A$5:$A$18,Basiszins!$B$5:$B$18))</f>
        <v/>
      </c>
      <c r="C117">
        <f>IF(A117="","",B117+Rechner!$E$7)</f>
        <v/>
      </c>
      <c r="D117">
        <f>J116</f>
        <v/>
      </c>
      <c r="E117">
        <f>IF(A117="",0,D117*C117/100/(DATE(YEAR(A117)+1,1,1)-DATE(YEAR(A117),1,1)))</f>
        <v/>
      </c>
      <c r="F117">
        <f>IF(A117="",0,SUMIF(Rechner!$A$12:$A$21,A117,Rechner!$B$12:$B$21))</f>
        <v/>
      </c>
      <c r="G117">
        <f>H116+E117</f>
        <v/>
      </c>
      <c r="H117">
        <f>G117-MIN(F117,G117)</f>
        <v/>
      </c>
      <c r="I117">
        <f>MIN(F117-MIN(F117,G117),D117)</f>
        <v/>
      </c>
      <c r="J117">
        <f>D117-I117</f>
        <v/>
      </c>
      <c r="K117">
        <f>F117-MIN(F117,G117)-I117</f>
        <v/>
      </c>
    </row>
    <row r="118">
      <c r="A118" s="21">
        <f>IF(Rechner!$E$4&lt;&gt;"ok","",IF(Rechner!$E$5+116&lt;=Rechner!$B$6,Rechner!$E$5+116,""))</f>
        <v/>
      </c>
      <c r="B118">
        <f>IF(A118="","",LOOKUP(A118,Basiszins!$A$5:$A$18,Basiszins!$B$5:$B$18))</f>
        <v/>
      </c>
      <c r="C118">
        <f>IF(A118="","",B118+Rechner!$E$7)</f>
        <v/>
      </c>
      <c r="D118">
        <f>J117</f>
        <v/>
      </c>
      <c r="E118">
        <f>IF(A118="",0,D118*C118/100/(DATE(YEAR(A118)+1,1,1)-DATE(YEAR(A118),1,1)))</f>
        <v/>
      </c>
      <c r="F118">
        <f>IF(A118="",0,SUMIF(Rechner!$A$12:$A$21,A118,Rechner!$B$12:$B$21))</f>
        <v/>
      </c>
      <c r="G118">
        <f>H117+E118</f>
        <v/>
      </c>
      <c r="H118">
        <f>G118-MIN(F118,G118)</f>
        <v/>
      </c>
      <c r="I118">
        <f>MIN(F118-MIN(F118,G118),D118)</f>
        <v/>
      </c>
      <c r="J118">
        <f>D118-I118</f>
        <v/>
      </c>
      <c r="K118">
        <f>F118-MIN(F118,G118)-I118</f>
        <v/>
      </c>
    </row>
    <row r="119">
      <c r="A119" s="21">
        <f>IF(Rechner!$E$4&lt;&gt;"ok","",IF(Rechner!$E$5+117&lt;=Rechner!$B$6,Rechner!$E$5+117,""))</f>
        <v/>
      </c>
      <c r="B119">
        <f>IF(A119="","",LOOKUP(A119,Basiszins!$A$5:$A$18,Basiszins!$B$5:$B$18))</f>
        <v/>
      </c>
      <c r="C119">
        <f>IF(A119="","",B119+Rechner!$E$7)</f>
        <v/>
      </c>
      <c r="D119">
        <f>J118</f>
        <v/>
      </c>
      <c r="E119">
        <f>IF(A119="",0,D119*C119/100/(DATE(YEAR(A119)+1,1,1)-DATE(YEAR(A119),1,1)))</f>
        <v/>
      </c>
      <c r="F119">
        <f>IF(A119="",0,SUMIF(Rechner!$A$12:$A$21,A119,Rechner!$B$12:$B$21))</f>
        <v/>
      </c>
      <c r="G119">
        <f>H118+E119</f>
        <v/>
      </c>
      <c r="H119">
        <f>G119-MIN(F119,G119)</f>
        <v/>
      </c>
      <c r="I119">
        <f>MIN(F119-MIN(F119,G119),D119)</f>
        <v/>
      </c>
      <c r="J119">
        <f>D119-I119</f>
        <v/>
      </c>
      <c r="K119">
        <f>F119-MIN(F119,G119)-I119</f>
        <v/>
      </c>
    </row>
    <row r="120">
      <c r="A120" s="21">
        <f>IF(Rechner!$E$4&lt;&gt;"ok","",IF(Rechner!$E$5+118&lt;=Rechner!$B$6,Rechner!$E$5+118,""))</f>
        <v/>
      </c>
      <c r="B120">
        <f>IF(A120="","",LOOKUP(A120,Basiszins!$A$5:$A$18,Basiszins!$B$5:$B$18))</f>
        <v/>
      </c>
      <c r="C120">
        <f>IF(A120="","",B120+Rechner!$E$7)</f>
        <v/>
      </c>
      <c r="D120">
        <f>J119</f>
        <v/>
      </c>
      <c r="E120">
        <f>IF(A120="",0,D120*C120/100/(DATE(YEAR(A120)+1,1,1)-DATE(YEAR(A120),1,1)))</f>
        <v/>
      </c>
      <c r="F120">
        <f>IF(A120="",0,SUMIF(Rechner!$A$12:$A$21,A120,Rechner!$B$12:$B$21))</f>
        <v/>
      </c>
      <c r="G120">
        <f>H119+E120</f>
        <v/>
      </c>
      <c r="H120">
        <f>G120-MIN(F120,G120)</f>
        <v/>
      </c>
      <c r="I120">
        <f>MIN(F120-MIN(F120,G120),D120)</f>
        <v/>
      </c>
      <c r="J120">
        <f>D120-I120</f>
        <v/>
      </c>
      <c r="K120">
        <f>F120-MIN(F120,G120)-I120</f>
        <v/>
      </c>
    </row>
    <row r="121">
      <c r="A121" s="21">
        <f>IF(Rechner!$E$4&lt;&gt;"ok","",IF(Rechner!$E$5+119&lt;=Rechner!$B$6,Rechner!$E$5+119,""))</f>
        <v/>
      </c>
      <c r="B121">
        <f>IF(A121="","",LOOKUP(A121,Basiszins!$A$5:$A$18,Basiszins!$B$5:$B$18))</f>
        <v/>
      </c>
      <c r="C121">
        <f>IF(A121="","",B121+Rechner!$E$7)</f>
        <v/>
      </c>
      <c r="D121">
        <f>J120</f>
        <v/>
      </c>
      <c r="E121">
        <f>IF(A121="",0,D121*C121/100/(DATE(YEAR(A121)+1,1,1)-DATE(YEAR(A121),1,1)))</f>
        <v/>
      </c>
      <c r="F121">
        <f>IF(A121="",0,SUMIF(Rechner!$A$12:$A$21,A121,Rechner!$B$12:$B$21))</f>
        <v/>
      </c>
      <c r="G121">
        <f>H120+E121</f>
        <v/>
      </c>
      <c r="H121">
        <f>G121-MIN(F121,G121)</f>
        <v/>
      </c>
      <c r="I121">
        <f>MIN(F121-MIN(F121,G121),D121)</f>
        <v/>
      </c>
      <c r="J121">
        <f>D121-I121</f>
        <v/>
      </c>
      <c r="K121">
        <f>F121-MIN(F121,G121)-I121</f>
        <v/>
      </c>
    </row>
    <row r="122">
      <c r="A122" s="21">
        <f>IF(Rechner!$E$4&lt;&gt;"ok","",IF(Rechner!$E$5+120&lt;=Rechner!$B$6,Rechner!$E$5+120,""))</f>
        <v/>
      </c>
      <c r="B122">
        <f>IF(A122="","",LOOKUP(A122,Basiszins!$A$5:$A$18,Basiszins!$B$5:$B$18))</f>
        <v/>
      </c>
      <c r="C122">
        <f>IF(A122="","",B122+Rechner!$E$7)</f>
        <v/>
      </c>
      <c r="D122">
        <f>J121</f>
        <v/>
      </c>
      <c r="E122">
        <f>IF(A122="",0,D122*C122/100/(DATE(YEAR(A122)+1,1,1)-DATE(YEAR(A122),1,1)))</f>
        <v/>
      </c>
      <c r="F122">
        <f>IF(A122="",0,SUMIF(Rechner!$A$12:$A$21,A122,Rechner!$B$12:$B$21))</f>
        <v/>
      </c>
      <c r="G122">
        <f>H121+E122</f>
        <v/>
      </c>
      <c r="H122">
        <f>G122-MIN(F122,G122)</f>
        <v/>
      </c>
      <c r="I122">
        <f>MIN(F122-MIN(F122,G122),D122)</f>
        <v/>
      </c>
      <c r="J122">
        <f>D122-I122</f>
        <v/>
      </c>
      <c r="K122">
        <f>F122-MIN(F122,G122)-I122</f>
        <v/>
      </c>
    </row>
    <row r="123">
      <c r="A123" s="21">
        <f>IF(Rechner!$E$4&lt;&gt;"ok","",IF(Rechner!$E$5+121&lt;=Rechner!$B$6,Rechner!$E$5+121,""))</f>
        <v/>
      </c>
      <c r="B123">
        <f>IF(A123="","",LOOKUP(A123,Basiszins!$A$5:$A$18,Basiszins!$B$5:$B$18))</f>
        <v/>
      </c>
      <c r="C123">
        <f>IF(A123="","",B123+Rechner!$E$7)</f>
        <v/>
      </c>
      <c r="D123">
        <f>J122</f>
        <v/>
      </c>
      <c r="E123">
        <f>IF(A123="",0,D123*C123/100/(DATE(YEAR(A123)+1,1,1)-DATE(YEAR(A123),1,1)))</f>
        <v/>
      </c>
      <c r="F123">
        <f>IF(A123="",0,SUMIF(Rechner!$A$12:$A$21,A123,Rechner!$B$12:$B$21))</f>
        <v/>
      </c>
      <c r="G123">
        <f>H122+E123</f>
        <v/>
      </c>
      <c r="H123">
        <f>G123-MIN(F123,G123)</f>
        <v/>
      </c>
      <c r="I123">
        <f>MIN(F123-MIN(F123,G123),D123)</f>
        <v/>
      </c>
      <c r="J123">
        <f>D123-I123</f>
        <v/>
      </c>
      <c r="K123">
        <f>F123-MIN(F123,G123)-I123</f>
        <v/>
      </c>
    </row>
    <row r="124">
      <c r="A124" s="21">
        <f>IF(Rechner!$E$4&lt;&gt;"ok","",IF(Rechner!$E$5+122&lt;=Rechner!$B$6,Rechner!$E$5+122,""))</f>
        <v/>
      </c>
      <c r="B124">
        <f>IF(A124="","",LOOKUP(A124,Basiszins!$A$5:$A$18,Basiszins!$B$5:$B$18))</f>
        <v/>
      </c>
      <c r="C124">
        <f>IF(A124="","",B124+Rechner!$E$7)</f>
        <v/>
      </c>
      <c r="D124">
        <f>J123</f>
        <v/>
      </c>
      <c r="E124">
        <f>IF(A124="",0,D124*C124/100/(DATE(YEAR(A124)+1,1,1)-DATE(YEAR(A124),1,1)))</f>
        <v/>
      </c>
      <c r="F124">
        <f>IF(A124="",0,SUMIF(Rechner!$A$12:$A$21,A124,Rechner!$B$12:$B$21))</f>
        <v/>
      </c>
      <c r="G124">
        <f>H123+E124</f>
        <v/>
      </c>
      <c r="H124">
        <f>G124-MIN(F124,G124)</f>
        <v/>
      </c>
      <c r="I124">
        <f>MIN(F124-MIN(F124,G124),D124)</f>
        <v/>
      </c>
      <c r="J124">
        <f>D124-I124</f>
        <v/>
      </c>
      <c r="K124">
        <f>F124-MIN(F124,G124)-I124</f>
        <v/>
      </c>
    </row>
    <row r="125">
      <c r="A125" s="21">
        <f>IF(Rechner!$E$4&lt;&gt;"ok","",IF(Rechner!$E$5+123&lt;=Rechner!$B$6,Rechner!$E$5+123,""))</f>
        <v/>
      </c>
      <c r="B125">
        <f>IF(A125="","",LOOKUP(A125,Basiszins!$A$5:$A$18,Basiszins!$B$5:$B$18))</f>
        <v/>
      </c>
      <c r="C125">
        <f>IF(A125="","",B125+Rechner!$E$7)</f>
        <v/>
      </c>
      <c r="D125">
        <f>J124</f>
        <v/>
      </c>
      <c r="E125">
        <f>IF(A125="",0,D125*C125/100/(DATE(YEAR(A125)+1,1,1)-DATE(YEAR(A125),1,1)))</f>
        <v/>
      </c>
      <c r="F125">
        <f>IF(A125="",0,SUMIF(Rechner!$A$12:$A$21,A125,Rechner!$B$12:$B$21))</f>
        <v/>
      </c>
      <c r="G125">
        <f>H124+E125</f>
        <v/>
      </c>
      <c r="H125">
        <f>G125-MIN(F125,G125)</f>
        <v/>
      </c>
      <c r="I125">
        <f>MIN(F125-MIN(F125,G125),D125)</f>
        <v/>
      </c>
      <c r="J125">
        <f>D125-I125</f>
        <v/>
      </c>
      <c r="K125">
        <f>F125-MIN(F125,G125)-I125</f>
        <v/>
      </c>
    </row>
    <row r="126">
      <c r="A126" s="21">
        <f>IF(Rechner!$E$4&lt;&gt;"ok","",IF(Rechner!$E$5+124&lt;=Rechner!$B$6,Rechner!$E$5+124,""))</f>
        <v/>
      </c>
      <c r="B126">
        <f>IF(A126="","",LOOKUP(A126,Basiszins!$A$5:$A$18,Basiszins!$B$5:$B$18))</f>
        <v/>
      </c>
      <c r="C126">
        <f>IF(A126="","",B126+Rechner!$E$7)</f>
        <v/>
      </c>
      <c r="D126">
        <f>J125</f>
        <v/>
      </c>
      <c r="E126">
        <f>IF(A126="",0,D126*C126/100/(DATE(YEAR(A126)+1,1,1)-DATE(YEAR(A126),1,1)))</f>
        <v/>
      </c>
      <c r="F126">
        <f>IF(A126="",0,SUMIF(Rechner!$A$12:$A$21,A126,Rechner!$B$12:$B$21))</f>
        <v/>
      </c>
      <c r="G126">
        <f>H125+E126</f>
        <v/>
      </c>
      <c r="H126">
        <f>G126-MIN(F126,G126)</f>
        <v/>
      </c>
      <c r="I126">
        <f>MIN(F126-MIN(F126,G126),D126)</f>
        <v/>
      </c>
      <c r="J126">
        <f>D126-I126</f>
        <v/>
      </c>
      <c r="K126">
        <f>F126-MIN(F126,G126)-I126</f>
        <v/>
      </c>
    </row>
    <row r="127">
      <c r="A127" s="21">
        <f>IF(Rechner!$E$4&lt;&gt;"ok","",IF(Rechner!$E$5+125&lt;=Rechner!$B$6,Rechner!$E$5+125,""))</f>
        <v/>
      </c>
      <c r="B127">
        <f>IF(A127="","",LOOKUP(A127,Basiszins!$A$5:$A$18,Basiszins!$B$5:$B$18))</f>
        <v/>
      </c>
      <c r="C127">
        <f>IF(A127="","",B127+Rechner!$E$7)</f>
        <v/>
      </c>
      <c r="D127">
        <f>J126</f>
        <v/>
      </c>
      <c r="E127">
        <f>IF(A127="",0,D127*C127/100/(DATE(YEAR(A127)+1,1,1)-DATE(YEAR(A127),1,1)))</f>
        <v/>
      </c>
      <c r="F127">
        <f>IF(A127="",0,SUMIF(Rechner!$A$12:$A$21,A127,Rechner!$B$12:$B$21))</f>
        <v/>
      </c>
      <c r="G127">
        <f>H126+E127</f>
        <v/>
      </c>
      <c r="H127">
        <f>G127-MIN(F127,G127)</f>
        <v/>
      </c>
      <c r="I127">
        <f>MIN(F127-MIN(F127,G127),D127)</f>
        <v/>
      </c>
      <c r="J127">
        <f>D127-I127</f>
        <v/>
      </c>
      <c r="K127">
        <f>F127-MIN(F127,G127)-I127</f>
        <v/>
      </c>
    </row>
    <row r="128">
      <c r="A128" s="21">
        <f>IF(Rechner!$E$4&lt;&gt;"ok","",IF(Rechner!$E$5+126&lt;=Rechner!$B$6,Rechner!$E$5+126,""))</f>
        <v/>
      </c>
      <c r="B128">
        <f>IF(A128="","",LOOKUP(A128,Basiszins!$A$5:$A$18,Basiszins!$B$5:$B$18))</f>
        <v/>
      </c>
      <c r="C128">
        <f>IF(A128="","",B128+Rechner!$E$7)</f>
        <v/>
      </c>
      <c r="D128">
        <f>J127</f>
        <v/>
      </c>
      <c r="E128">
        <f>IF(A128="",0,D128*C128/100/(DATE(YEAR(A128)+1,1,1)-DATE(YEAR(A128),1,1)))</f>
        <v/>
      </c>
      <c r="F128">
        <f>IF(A128="",0,SUMIF(Rechner!$A$12:$A$21,A128,Rechner!$B$12:$B$21))</f>
        <v/>
      </c>
      <c r="G128">
        <f>H127+E128</f>
        <v/>
      </c>
      <c r="H128">
        <f>G128-MIN(F128,G128)</f>
        <v/>
      </c>
      <c r="I128">
        <f>MIN(F128-MIN(F128,G128),D128)</f>
        <v/>
      </c>
      <c r="J128">
        <f>D128-I128</f>
        <v/>
      </c>
      <c r="K128">
        <f>F128-MIN(F128,G128)-I128</f>
        <v/>
      </c>
    </row>
    <row r="129">
      <c r="A129" s="21">
        <f>IF(Rechner!$E$4&lt;&gt;"ok","",IF(Rechner!$E$5+127&lt;=Rechner!$B$6,Rechner!$E$5+127,""))</f>
        <v/>
      </c>
      <c r="B129">
        <f>IF(A129="","",LOOKUP(A129,Basiszins!$A$5:$A$18,Basiszins!$B$5:$B$18))</f>
        <v/>
      </c>
      <c r="C129">
        <f>IF(A129="","",B129+Rechner!$E$7)</f>
        <v/>
      </c>
      <c r="D129">
        <f>J128</f>
        <v/>
      </c>
      <c r="E129">
        <f>IF(A129="",0,D129*C129/100/(DATE(YEAR(A129)+1,1,1)-DATE(YEAR(A129),1,1)))</f>
        <v/>
      </c>
      <c r="F129">
        <f>IF(A129="",0,SUMIF(Rechner!$A$12:$A$21,A129,Rechner!$B$12:$B$21))</f>
        <v/>
      </c>
      <c r="G129">
        <f>H128+E129</f>
        <v/>
      </c>
      <c r="H129">
        <f>G129-MIN(F129,G129)</f>
        <v/>
      </c>
      <c r="I129">
        <f>MIN(F129-MIN(F129,G129),D129)</f>
        <v/>
      </c>
      <c r="J129">
        <f>D129-I129</f>
        <v/>
      </c>
      <c r="K129">
        <f>F129-MIN(F129,G129)-I129</f>
        <v/>
      </c>
    </row>
    <row r="130">
      <c r="A130" s="21">
        <f>IF(Rechner!$E$4&lt;&gt;"ok","",IF(Rechner!$E$5+128&lt;=Rechner!$B$6,Rechner!$E$5+128,""))</f>
        <v/>
      </c>
      <c r="B130">
        <f>IF(A130="","",LOOKUP(A130,Basiszins!$A$5:$A$18,Basiszins!$B$5:$B$18))</f>
        <v/>
      </c>
      <c r="C130">
        <f>IF(A130="","",B130+Rechner!$E$7)</f>
        <v/>
      </c>
      <c r="D130">
        <f>J129</f>
        <v/>
      </c>
      <c r="E130">
        <f>IF(A130="",0,D130*C130/100/(DATE(YEAR(A130)+1,1,1)-DATE(YEAR(A130),1,1)))</f>
        <v/>
      </c>
      <c r="F130">
        <f>IF(A130="",0,SUMIF(Rechner!$A$12:$A$21,A130,Rechner!$B$12:$B$21))</f>
        <v/>
      </c>
      <c r="G130">
        <f>H129+E130</f>
        <v/>
      </c>
      <c r="H130">
        <f>G130-MIN(F130,G130)</f>
        <v/>
      </c>
      <c r="I130">
        <f>MIN(F130-MIN(F130,G130),D130)</f>
        <v/>
      </c>
      <c r="J130">
        <f>D130-I130</f>
        <v/>
      </c>
      <c r="K130">
        <f>F130-MIN(F130,G130)-I130</f>
        <v/>
      </c>
    </row>
    <row r="131">
      <c r="A131" s="21">
        <f>IF(Rechner!$E$4&lt;&gt;"ok","",IF(Rechner!$E$5+129&lt;=Rechner!$B$6,Rechner!$E$5+129,""))</f>
        <v/>
      </c>
      <c r="B131">
        <f>IF(A131="","",LOOKUP(A131,Basiszins!$A$5:$A$18,Basiszins!$B$5:$B$18))</f>
        <v/>
      </c>
      <c r="C131">
        <f>IF(A131="","",B131+Rechner!$E$7)</f>
        <v/>
      </c>
      <c r="D131">
        <f>J130</f>
        <v/>
      </c>
      <c r="E131">
        <f>IF(A131="",0,D131*C131/100/(DATE(YEAR(A131)+1,1,1)-DATE(YEAR(A131),1,1)))</f>
        <v/>
      </c>
      <c r="F131">
        <f>IF(A131="",0,SUMIF(Rechner!$A$12:$A$21,A131,Rechner!$B$12:$B$21))</f>
        <v/>
      </c>
      <c r="G131">
        <f>H130+E131</f>
        <v/>
      </c>
      <c r="H131">
        <f>G131-MIN(F131,G131)</f>
        <v/>
      </c>
      <c r="I131">
        <f>MIN(F131-MIN(F131,G131),D131)</f>
        <v/>
      </c>
      <c r="J131">
        <f>D131-I131</f>
        <v/>
      </c>
      <c r="K131">
        <f>F131-MIN(F131,G131)-I131</f>
        <v/>
      </c>
    </row>
    <row r="132">
      <c r="A132" s="21">
        <f>IF(Rechner!$E$4&lt;&gt;"ok","",IF(Rechner!$E$5+130&lt;=Rechner!$B$6,Rechner!$E$5+130,""))</f>
        <v/>
      </c>
      <c r="B132">
        <f>IF(A132="","",LOOKUP(A132,Basiszins!$A$5:$A$18,Basiszins!$B$5:$B$18))</f>
        <v/>
      </c>
      <c r="C132">
        <f>IF(A132="","",B132+Rechner!$E$7)</f>
        <v/>
      </c>
      <c r="D132">
        <f>J131</f>
        <v/>
      </c>
      <c r="E132">
        <f>IF(A132="",0,D132*C132/100/(DATE(YEAR(A132)+1,1,1)-DATE(YEAR(A132),1,1)))</f>
        <v/>
      </c>
      <c r="F132">
        <f>IF(A132="",0,SUMIF(Rechner!$A$12:$A$21,A132,Rechner!$B$12:$B$21))</f>
        <v/>
      </c>
      <c r="G132">
        <f>H131+E132</f>
        <v/>
      </c>
      <c r="H132">
        <f>G132-MIN(F132,G132)</f>
        <v/>
      </c>
      <c r="I132">
        <f>MIN(F132-MIN(F132,G132),D132)</f>
        <v/>
      </c>
      <c r="J132">
        <f>D132-I132</f>
        <v/>
      </c>
      <c r="K132">
        <f>F132-MIN(F132,G132)-I132</f>
        <v/>
      </c>
    </row>
    <row r="133">
      <c r="A133" s="21">
        <f>IF(Rechner!$E$4&lt;&gt;"ok","",IF(Rechner!$E$5+131&lt;=Rechner!$B$6,Rechner!$E$5+131,""))</f>
        <v/>
      </c>
      <c r="B133">
        <f>IF(A133="","",LOOKUP(A133,Basiszins!$A$5:$A$18,Basiszins!$B$5:$B$18))</f>
        <v/>
      </c>
      <c r="C133">
        <f>IF(A133="","",B133+Rechner!$E$7)</f>
        <v/>
      </c>
      <c r="D133">
        <f>J132</f>
        <v/>
      </c>
      <c r="E133">
        <f>IF(A133="",0,D133*C133/100/(DATE(YEAR(A133)+1,1,1)-DATE(YEAR(A133),1,1)))</f>
        <v/>
      </c>
      <c r="F133">
        <f>IF(A133="",0,SUMIF(Rechner!$A$12:$A$21,A133,Rechner!$B$12:$B$21))</f>
        <v/>
      </c>
      <c r="G133">
        <f>H132+E133</f>
        <v/>
      </c>
      <c r="H133">
        <f>G133-MIN(F133,G133)</f>
        <v/>
      </c>
      <c r="I133">
        <f>MIN(F133-MIN(F133,G133),D133)</f>
        <v/>
      </c>
      <c r="J133">
        <f>D133-I133</f>
        <v/>
      </c>
      <c r="K133">
        <f>F133-MIN(F133,G133)-I133</f>
        <v/>
      </c>
    </row>
    <row r="134">
      <c r="A134" s="21">
        <f>IF(Rechner!$E$4&lt;&gt;"ok","",IF(Rechner!$E$5+132&lt;=Rechner!$B$6,Rechner!$E$5+132,""))</f>
        <v/>
      </c>
      <c r="B134">
        <f>IF(A134="","",LOOKUP(A134,Basiszins!$A$5:$A$18,Basiszins!$B$5:$B$18))</f>
        <v/>
      </c>
      <c r="C134">
        <f>IF(A134="","",B134+Rechner!$E$7)</f>
        <v/>
      </c>
      <c r="D134">
        <f>J133</f>
        <v/>
      </c>
      <c r="E134">
        <f>IF(A134="",0,D134*C134/100/(DATE(YEAR(A134)+1,1,1)-DATE(YEAR(A134),1,1)))</f>
        <v/>
      </c>
      <c r="F134">
        <f>IF(A134="",0,SUMIF(Rechner!$A$12:$A$21,A134,Rechner!$B$12:$B$21))</f>
        <v/>
      </c>
      <c r="G134">
        <f>H133+E134</f>
        <v/>
      </c>
      <c r="H134">
        <f>G134-MIN(F134,G134)</f>
        <v/>
      </c>
      <c r="I134">
        <f>MIN(F134-MIN(F134,G134),D134)</f>
        <v/>
      </c>
      <c r="J134">
        <f>D134-I134</f>
        <v/>
      </c>
      <c r="K134">
        <f>F134-MIN(F134,G134)-I134</f>
        <v/>
      </c>
    </row>
    <row r="135">
      <c r="A135" s="21">
        <f>IF(Rechner!$E$4&lt;&gt;"ok","",IF(Rechner!$E$5+133&lt;=Rechner!$B$6,Rechner!$E$5+133,""))</f>
        <v/>
      </c>
      <c r="B135">
        <f>IF(A135="","",LOOKUP(A135,Basiszins!$A$5:$A$18,Basiszins!$B$5:$B$18))</f>
        <v/>
      </c>
      <c r="C135">
        <f>IF(A135="","",B135+Rechner!$E$7)</f>
        <v/>
      </c>
      <c r="D135">
        <f>J134</f>
        <v/>
      </c>
      <c r="E135">
        <f>IF(A135="",0,D135*C135/100/(DATE(YEAR(A135)+1,1,1)-DATE(YEAR(A135),1,1)))</f>
        <v/>
      </c>
      <c r="F135">
        <f>IF(A135="",0,SUMIF(Rechner!$A$12:$A$21,A135,Rechner!$B$12:$B$21))</f>
        <v/>
      </c>
      <c r="G135">
        <f>H134+E135</f>
        <v/>
      </c>
      <c r="H135">
        <f>G135-MIN(F135,G135)</f>
        <v/>
      </c>
      <c r="I135">
        <f>MIN(F135-MIN(F135,G135),D135)</f>
        <v/>
      </c>
      <c r="J135">
        <f>D135-I135</f>
        <v/>
      </c>
      <c r="K135">
        <f>F135-MIN(F135,G135)-I135</f>
        <v/>
      </c>
    </row>
    <row r="136">
      <c r="A136" s="21">
        <f>IF(Rechner!$E$4&lt;&gt;"ok","",IF(Rechner!$E$5+134&lt;=Rechner!$B$6,Rechner!$E$5+134,""))</f>
        <v/>
      </c>
      <c r="B136">
        <f>IF(A136="","",LOOKUP(A136,Basiszins!$A$5:$A$18,Basiszins!$B$5:$B$18))</f>
        <v/>
      </c>
      <c r="C136">
        <f>IF(A136="","",B136+Rechner!$E$7)</f>
        <v/>
      </c>
      <c r="D136">
        <f>J135</f>
        <v/>
      </c>
      <c r="E136">
        <f>IF(A136="",0,D136*C136/100/(DATE(YEAR(A136)+1,1,1)-DATE(YEAR(A136),1,1)))</f>
        <v/>
      </c>
      <c r="F136">
        <f>IF(A136="",0,SUMIF(Rechner!$A$12:$A$21,A136,Rechner!$B$12:$B$21))</f>
        <v/>
      </c>
      <c r="G136">
        <f>H135+E136</f>
        <v/>
      </c>
      <c r="H136">
        <f>G136-MIN(F136,G136)</f>
        <v/>
      </c>
      <c r="I136">
        <f>MIN(F136-MIN(F136,G136),D136)</f>
        <v/>
      </c>
      <c r="J136">
        <f>D136-I136</f>
        <v/>
      </c>
      <c r="K136">
        <f>F136-MIN(F136,G136)-I136</f>
        <v/>
      </c>
    </row>
    <row r="137">
      <c r="A137" s="21">
        <f>IF(Rechner!$E$4&lt;&gt;"ok","",IF(Rechner!$E$5+135&lt;=Rechner!$B$6,Rechner!$E$5+135,""))</f>
        <v/>
      </c>
      <c r="B137">
        <f>IF(A137="","",LOOKUP(A137,Basiszins!$A$5:$A$18,Basiszins!$B$5:$B$18))</f>
        <v/>
      </c>
      <c r="C137">
        <f>IF(A137="","",B137+Rechner!$E$7)</f>
        <v/>
      </c>
      <c r="D137">
        <f>J136</f>
        <v/>
      </c>
      <c r="E137">
        <f>IF(A137="",0,D137*C137/100/(DATE(YEAR(A137)+1,1,1)-DATE(YEAR(A137),1,1)))</f>
        <v/>
      </c>
      <c r="F137">
        <f>IF(A137="",0,SUMIF(Rechner!$A$12:$A$21,A137,Rechner!$B$12:$B$21))</f>
        <v/>
      </c>
      <c r="G137">
        <f>H136+E137</f>
        <v/>
      </c>
      <c r="H137">
        <f>G137-MIN(F137,G137)</f>
        <v/>
      </c>
      <c r="I137">
        <f>MIN(F137-MIN(F137,G137),D137)</f>
        <v/>
      </c>
      <c r="J137">
        <f>D137-I137</f>
        <v/>
      </c>
      <c r="K137">
        <f>F137-MIN(F137,G137)-I137</f>
        <v/>
      </c>
    </row>
    <row r="138">
      <c r="A138" s="21">
        <f>IF(Rechner!$E$4&lt;&gt;"ok","",IF(Rechner!$E$5+136&lt;=Rechner!$B$6,Rechner!$E$5+136,""))</f>
        <v/>
      </c>
      <c r="B138">
        <f>IF(A138="","",LOOKUP(A138,Basiszins!$A$5:$A$18,Basiszins!$B$5:$B$18))</f>
        <v/>
      </c>
      <c r="C138">
        <f>IF(A138="","",B138+Rechner!$E$7)</f>
        <v/>
      </c>
      <c r="D138">
        <f>J137</f>
        <v/>
      </c>
      <c r="E138">
        <f>IF(A138="",0,D138*C138/100/(DATE(YEAR(A138)+1,1,1)-DATE(YEAR(A138),1,1)))</f>
        <v/>
      </c>
      <c r="F138">
        <f>IF(A138="",0,SUMIF(Rechner!$A$12:$A$21,A138,Rechner!$B$12:$B$21))</f>
        <v/>
      </c>
      <c r="G138">
        <f>H137+E138</f>
        <v/>
      </c>
      <c r="H138">
        <f>G138-MIN(F138,G138)</f>
        <v/>
      </c>
      <c r="I138">
        <f>MIN(F138-MIN(F138,G138),D138)</f>
        <v/>
      </c>
      <c r="J138">
        <f>D138-I138</f>
        <v/>
      </c>
      <c r="K138">
        <f>F138-MIN(F138,G138)-I138</f>
        <v/>
      </c>
    </row>
    <row r="139">
      <c r="A139" s="21">
        <f>IF(Rechner!$E$4&lt;&gt;"ok","",IF(Rechner!$E$5+137&lt;=Rechner!$B$6,Rechner!$E$5+137,""))</f>
        <v/>
      </c>
      <c r="B139">
        <f>IF(A139="","",LOOKUP(A139,Basiszins!$A$5:$A$18,Basiszins!$B$5:$B$18))</f>
        <v/>
      </c>
      <c r="C139">
        <f>IF(A139="","",B139+Rechner!$E$7)</f>
        <v/>
      </c>
      <c r="D139">
        <f>J138</f>
        <v/>
      </c>
      <c r="E139">
        <f>IF(A139="",0,D139*C139/100/(DATE(YEAR(A139)+1,1,1)-DATE(YEAR(A139),1,1)))</f>
        <v/>
      </c>
      <c r="F139">
        <f>IF(A139="",0,SUMIF(Rechner!$A$12:$A$21,A139,Rechner!$B$12:$B$21))</f>
        <v/>
      </c>
      <c r="G139">
        <f>H138+E139</f>
        <v/>
      </c>
      <c r="H139">
        <f>G139-MIN(F139,G139)</f>
        <v/>
      </c>
      <c r="I139">
        <f>MIN(F139-MIN(F139,G139),D139)</f>
        <v/>
      </c>
      <c r="J139">
        <f>D139-I139</f>
        <v/>
      </c>
      <c r="K139">
        <f>F139-MIN(F139,G139)-I139</f>
        <v/>
      </c>
    </row>
    <row r="140">
      <c r="A140" s="21">
        <f>IF(Rechner!$E$4&lt;&gt;"ok","",IF(Rechner!$E$5+138&lt;=Rechner!$B$6,Rechner!$E$5+138,""))</f>
        <v/>
      </c>
      <c r="B140">
        <f>IF(A140="","",LOOKUP(A140,Basiszins!$A$5:$A$18,Basiszins!$B$5:$B$18))</f>
        <v/>
      </c>
      <c r="C140">
        <f>IF(A140="","",B140+Rechner!$E$7)</f>
        <v/>
      </c>
      <c r="D140">
        <f>J139</f>
        <v/>
      </c>
      <c r="E140">
        <f>IF(A140="",0,D140*C140/100/(DATE(YEAR(A140)+1,1,1)-DATE(YEAR(A140),1,1)))</f>
        <v/>
      </c>
      <c r="F140">
        <f>IF(A140="",0,SUMIF(Rechner!$A$12:$A$21,A140,Rechner!$B$12:$B$21))</f>
        <v/>
      </c>
      <c r="G140">
        <f>H139+E140</f>
        <v/>
      </c>
      <c r="H140">
        <f>G140-MIN(F140,G140)</f>
        <v/>
      </c>
      <c r="I140">
        <f>MIN(F140-MIN(F140,G140),D140)</f>
        <v/>
      </c>
      <c r="J140">
        <f>D140-I140</f>
        <v/>
      </c>
      <c r="K140">
        <f>F140-MIN(F140,G140)-I140</f>
        <v/>
      </c>
    </row>
    <row r="141">
      <c r="A141" s="21">
        <f>IF(Rechner!$E$4&lt;&gt;"ok","",IF(Rechner!$E$5+139&lt;=Rechner!$B$6,Rechner!$E$5+139,""))</f>
        <v/>
      </c>
      <c r="B141">
        <f>IF(A141="","",LOOKUP(A141,Basiszins!$A$5:$A$18,Basiszins!$B$5:$B$18))</f>
        <v/>
      </c>
      <c r="C141">
        <f>IF(A141="","",B141+Rechner!$E$7)</f>
        <v/>
      </c>
      <c r="D141">
        <f>J140</f>
        <v/>
      </c>
      <c r="E141">
        <f>IF(A141="",0,D141*C141/100/(DATE(YEAR(A141)+1,1,1)-DATE(YEAR(A141),1,1)))</f>
        <v/>
      </c>
      <c r="F141">
        <f>IF(A141="",0,SUMIF(Rechner!$A$12:$A$21,A141,Rechner!$B$12:$B$21))</f>
        <v/>
      </c>
      <c r="G141">
        <f>H140+E141</f>
        <v/>
      </c>
      <c r="H141">
        <f>G141-MIN(F141,G141)</f>
        <v/>
      </c>
      <c r="I141">
        <f>MIN(F141-MIN(F141,G141),D141)</f>
        <v/>
      </c>
      <c r="J141">
        <f>D141-I141</f>
        <v/>
      </c>
      <c r="K141">
        <f>F141-MIN(F141,G141)-I141</f>
        <v/>
      </c>
    </row>
    <row r="142">
      <c r="A142" s="21">
        <f>IF(Rechner!$E$4&lt;&gt;"ok","",IF(Rechner!$E$5+140&lt;=Rechner!$B$6,Rechner!$E$5+140,""))</f>
        <v/>
      </c>
      <c r="B142">
        <f>IF(A142="","",LOOKUP(A142,Basiszins!$A$5:$A$18,Basiszins!$B$5:$B$18))</f>
        <v/>
      </c>
      <c r="C142">
        <f>IF(A142="","",B142+Rechner!$E$7)</f>
        <v/>
      </c>
      <c r="D142">
        <f>J141</f>
        <v/>
      </c>
      <c r="E142">
        <f>IF(A142="",0,D142*C142/100/(DATE(YEAR(A142)+1,1,1)-DATE(YEAR(A142),1,1)))</f>
        <v/>
      </c>
      <c r="F142">
        <f>IF(A142="",0,SUMIF(Rechner!$A$12:$A$21,A142,Rechner!$B$12:$B$21))</f>
        <v/>
      </c>
      <c r="G142">
        <f>H141+E142</f>
        <v/>
      </c>
      <c r="H142">
        <f>G142-MIN(F142,G142)</f>
        <v/>
      </c>
      <c r="I142">
        <f>MIN(F142-MIN(F142,G142),D142)</f>
        <v/>
      </c>
      <c r="J142">
        <f>D142-I142</f>
        <v/>
      </c>
      <c r="K142">
        <f>F142-MIN(F142,G142)-I142</f>
        <v/>
      </c>
    </row>
    <row r="143">
      <c r="A143" s="21">
        <f>IF(Rechner!$E$4&lt;&gt;"ok","",IF(Rechner!$E$5+141&lt;=Rechner!$B$6,Rechner!$E$5+141,""))</f>
        <v/>
      </c>
      <c r="B143">
        <f>IF(A143="","",LOOKUP(A143,Basiszins!$A$5:$A$18,Basiszins!$B$5:$B$18))</f>
        <v/>
      </c>
      <c r="C143">
        <f>IF(A143="","",B143+Rechner!$E$7)</f>
        <v/>
      </c>
      <c r="D143">
        <f>J142</f>
        <v/>
      </c>
      <c r="E143">
        <f>IF(A143="",0,D143*C143/100/(DATE(YEAR(A143)+1,1,1)-DATE(YEAR(A143),1,1)))</f>
        <v/>
      </c>
      <c r="F143">
        <f>IF(A143="",0,SUMIF(Rechner!$A$12:$A$21,A143,Rechner!$B$12:$B$21))</f>
        <v/>
      </c>
      <c r="G143">
        <f>H142+E143</f>
        <v/>
      </c>
      <c r="H143">
        <f>G143-MIN(F143,G143)</f>
        <v/>
      </c>
      <c r="I143">
        <f>MIN(F143-MIN(F143,G143),D143)</f>
        <v/>
      </c>
      <c r="J143">
        <f>D143-I143</f>
        <v/>
      </c>
      <c r="K143">
        <f>F143-MIN(F143,G143)-I143</f>
        <v/>
      </c>
    </row>
    <row r="144">
      <c r="A144" s="21">
        <f>IF(Rechner!$E$4&lt;&gt;"ok","",IF(Rechner!$E$5+142&lt;=Rechner!$B$6,Rechner!$E$5+142,""))</f>
        <v/>
      </c>
      <c r="B144">
        <f>IF(A144="","",LOOKUP(A144,Basiszins!$A$5:$A$18,Basiszins!$B$5:$B$18))</f>
        <v/>
      </c>
      <c r="C144">
        <f>IF(A144="","",B144+Rechner!$E$7)</f>
        <v/>
      </c>
      <c r="D144">
        <f>J143</f>
        <v/>
      </c>
      <c r="E144">
        <f>IF(A144="",0,D144*C144/100/(DATE(YEAR(A144)+1,1,1)-DATE(YEAR(A144),1,1)))</f>
        <v/>
      </c>
      <c r="F144">
        <f>IF(A144="",0,SUMIF(Rechner!$A$12:$A$21,A144,Rechner!$B$12:$B$21))</f>
        <v/>
      </c>
      <c r="G144">
        <f>H143+E144</f>
        <v/>
      </c>
      <c r="H144">
        <f>G144-MIN(F144,G144)</f>
        <v/>
      </c>
      <c r="I144">
        <f>MIN(F144-MIN(F144,G144),D144)</f>
        <v/>
      </c>
      <c r="J144">
        <f>D144-I144</f>
        <v/>
      </c>
      <c r="K144">
        <f>F144-MIN(F144,G144)-I144</f>
        <v/>
      </c>
    </row>
    <row r="145">
      <c r="A145" s="21">
        <f>IF(Rechner!$E$4&lt;&gt;"ok","",IF(Rechner!$E$5+143&lt;=Rechner!$B$6,Rechner!$E$5+143,""))</f>
        <v/>
      </c>
      <c r="B145">
        <f>IF(A145="","",LOOKUP(A145,Basiszins!$A$5:$A$18,Basiszins!$B$5:$B$18))</f>
        <v/>
      </c>
      <c r="C145">
        <f>IF(A145="","",B145+Rechner!$E$7)</f>
        <v/>
      </c>
      <c r="D145">
        <f>J144</f>
        <v/>
      </c>
      <c r="E145">
        <f>IF(A145="",0,D145*C145/100/(DATE(YEAR(A145)+1,1,1)-DATE(YEAR(A145),1,1)))</f>
        <v/>
      </c>
      <c r="F145">
        <f>IF(A145="",0,SUMIF(Rechner!$A$12:$A$21,A145,Rechner!$B$12:$B$21))</f>
        <v/>
      </c>
      <c r="G145">
        <f>H144+E145</f>
        <v/>
      </c>
      <c r="H145">
        <f>G145-MIN(F145,G145)</f>
        <v/>
      </c>
      <c r="I145">
        <f>MIN(F145-MIN(F145,G145),D145)</f>
        <v/>
      </c>
      <c r="J145">
        <f>D145-I145</f>
        <v/>
      </c>
      <c r="K145">
        <f>F145-MIN(F145,G145)-I145</f>
        <v/>
      </c>
    </row>
    <row r="146">
      <c r="A146" s="21">
        <f>IF(Rechner!$E$4&lt;&gt;"ok","",IF(Rechner!$E$5+144&lt;=Rechner!$B$6,Rechner!$E$5+144,""))</f>
        <v/>
      </c>
      <c r="B146">
        <f>IF(A146="","",LOOKUP(A146,Basiszins!$A$5:$A$18,Basiszins!$B$5:$B$18))</f>
        <v/>
      </c>
      <c r="C146">
        <f>IF(A146="","",B146+Rechner!$E$7)</f>
        <v/>
      </c>
      <c r="D146">
        <f>J145</f>
        <v/>
      </c>
      <c r="E146">
        <f>IF(A146="",0,D146*C146/100/(DATE(YEAR(A146)+1,1,1)-DATE(YEAR(A146),1,1)))</f>
        <v/>
      </c>
      <c r="F146">
        <f>IF(A146="",0,SUMIF(Rechner!$A$12:$A$21,A146,Rechner!$B$12:$B$21))</f>
        <v/>
      </c>
      <c r="G146">
        <f>H145+E146</f>
        <v/>
      </c>
      <c r="H146">
        <f>G146-MIN(F146,G146)</f>
        <v/>
      </c>
      <c r="I146">
        <f>MIN(F146-MIN(F146,G146),D146)</f>
        <v/>
      </c>
      <c r="J146">
        <f>D146-I146</f>
        <v/>
      </c>
      <c r="K146">
        <f>F146-MIN(F146,G146)-I146</f>
        <v/>
      </c>
    </row>
    <row r="147">
      <c r="A147" s="21">
        <f>IF(Rechner!$E$4&lt;&gt;"ok","",IF(Rechner!$E$5+145&lt;=Rechner!$B$6,Rechner!$E$5+145,""))</f>
        <v/>
      </c>
      <c r="B147">
        <f>IF(A147="","",LOOKUP(A147,Basiszins!$A$5:$A$18,Basiszins!$B$5:$B$18))</f>
        <v/>
      </c>
      <c r="C147">
        <f>IF(A147="","",B147+Rechner!$E$7)</f>
        <v/>
      </c>
      <c r="D147">
        <f>J146</f>
        <v/>
      </c>
      <c r="E147">
        <f>IF(A147="",0,D147*C147/100/(DATE(YEAR(A147)+1,1,1)-DATE(YEAR(A147),1,1)))</f>
        <v/>
      </c>
      <c r="F147">
        <f>IF(A147="",0,SUMIF(Rechner!$A$12:$A$21,A147,Rechner!$B$12:$B$21))</f>
        <v/>
      </c>
      <c r="G147">
        <f>H146+E147</f>
        <v/>
      </c>
      <c r="H147">
        <f>G147-MIN(F147,G147)</f>
        <v/>
      </c>
      <c r="I147">
        <f>MIN(F147-MIN(F147,G147),D147)</f>
        <v/>
      </c>
      <c r="J147">
        <f>D147-I147</f>
        <v/>
      </c>
      <c r="K147">
        <f>F147-MIN(F147,G147)-I147</f>
        <v/>
      </c>
    </row>
    <row r="148">
      <c r="A148" s="21">
        <f>IF(Rechner!$E$4&lt;&gt;"ok","",IF(Rechner!$E$5+146&lt;=Rechner!$B$6,Rechner!$E$5+146,""))</f>
        <v/>
      </c>
      <c r="B148">
        <f>IF(A148="","",LOOKUP(A148,Basiszins!$A$5:$A$18,Basiszins!$B$5:$B$18))</f>
        <v/>
      </c>
      <c r="C148">
        <f>IF(A148="","",B148+Rechner!$E$7)</f>
        <v/>
      </c>
      <c r="D148">
        <f>J147</f>
        <v/>
      </c>
      <c r="E148">
        <f>IF(A148="",0,D148*C148/100/(DATE(YEAR(A148)+1,1,1)-DATE(YEAR(A148),1,1)))</f>
        <v/>
      </c>
      <c r="F148">
        <f>IF(A148="",0,SUMIF(Rechner!$A$12:$A$21,A148,Rechner!$B$12:$B$21))</f>
        <v/>
      </c>
      <c r="G148">
        <f>H147+E148</f>
        <v/>
      </c>
      <c r="H148">
        <f>G148-MIN(F148,G148)</f>
        <v/>
      </c>
      <c r="I148">
        <f>MIN(F148-MIN(F148,G148),D148)</f>
        <v/>
      </c>
      <c r="J148">
        <f>D148-I148</f>
        <v/>
      </c>
      <c r="K148">
        <f>F148-MIN(F148,G148)-I148</f>
        <v/>
      </c>
    </row>
    <row r="149">
      <c r="A149" s="21">
        <f>IF(Rechner!$E$4&lt;&gt;"ok","",IF(Rechner!$E$5+147&lt;=Rechner!$B$6,Rechner!$E$5+147,""))</f>
        <v/>
      </c>
      <c r="B149">
        <f>IF(A149="","",LOOKUP(A149,Basiszins!$A$5:$A$18,Basiszins!$B$5:$B$18))</f>
        <v/>
      </c>
      <c r="C149">
        <f>IF(A149="","",B149+Rechner!$E$7)</f>
        <v/>
      </c>
      <c r="D149">
        <f>J148</f>
        <v/>
      </c>
      <c r="E149">
        <f>IF(A149="",0,D149*C149/100/(DATE(YEAR(A149)+1,1,1)-DATE(YEAR(A149),1,1)))</f>
        <v/>
      </c>
      <c r="F149">
        <f>IF(A149="",0,SUMIF(Rechner!$A$12:$A$21,A149,Rechner!$B$12:$B$21))</f>
        <v/>
      </c>
      <c r="G149">
        <f>H148+E149</f>
        <v/>
      </c>
      <c r="H149">
        <f>G149-MIN(F149,G149)</f>
        <v/>
      </c>
      <c r="I149">
        <f>MIN(F149-MIN(F149,G149),D149)</f>
        <v/>
      </c>
      <c r="J149">
        <f>D149-I149</f>
        <v/>
      </c>
      <c r="K149">
        <f>F149-MIN(F149,G149)-I149</f>
        <v/>
      </c>
    </row>
    <row r="150">
      <c r="A150" s="21">
        <f>IF(Rechner!$E$4&lt;&gt;"ok","",IF(Rechner!$E$5+148&lt;=Rechner!$B$6,Rechner!$E$5+148,""))</f>
        <v/>
      </c>
      <c r="B150">
        <f>IF(A150="","",LOOKUP(A150,Basiszins!$A$5:$A$18,Basiszins!$B$5:$B$18))</f>
        <v/>
      </c>
      <c r="C150">
        <f>IF(A150="","",B150+Rechner!$E$7)</f>
        <v/>
      </c>
      <c r="D150">
        <f>J149</f>
        <v/>
      </c>
      <c r="E150">
        <f>IF(A150="",0,D150*C150/100/(DATE(YEAR(A150)+1,1,1)-DATE(YEAR(A150),1,1)))</f>
        <v/>
      </c>
      <c r="F150">
        <f>IF(A150="",0,SUMIF(Rechner!$A$12:$A$21,A150,Rechner!$B$12:$B$21))</f>
        <v/>
      </c>
      <c r="G150">
        <f>H149+E150</f>
        <v/>
      </c>
      <c r="H150">
        <f>G150-MIN(F150,G150)</f>
        <v/>
      </c>
      <c r="I150">
        <f>MIN(F150-MIN(F150,G150),D150)</f>
        <v/>
      </c>
      <c r="J150">
        <f>D150-I150</f>
        <v/>
      </c>
      <c r="K150">
        <f>F150-MIN(F150,G150)-I150</f>
        <v/>
      </c>
    </row>
    <row r="151">
      <c r="A151" s="21">
        <f>IF(Rechner!$E$4&lt;&gt;"ok","",IF(Rechner!$E$5+149&lt;=Rechner!$B$6,Rechner!$E$5+149,""))</f>
        <v/>
      </c>
      <c r="B151">
        <f>IF(A151="","",LOOKUP(A151,Basiszins!$A$5:$A$18,Basiszins!$B$5:$B$18))</f>
        <v/>
      </c>
      <c r="C151">
        <f>IF(A151="","",B151+Rechner!$E$7)</f>
        <v/>
      </c>
      <c r="D151">
        <f>J150</f>
        <v/>
      </c>
      <c r="E151">
        <f>IF(A151="",0,D151*C151/100/(DATE(YEAR(A151)+1,1,1)-DATE(YEAR(A151),1,1)))</f>
        <v/>
      </c>
      <c r="F151">
        <f>IF(A151="",0,SUMIF(Rechner!$A$12:$A$21,A151,Rechner!$B$12:$B$21))</f>
        <v/>
      </c>
      <c r="G151">
        <f>H150+E151</f>
        <v/>
      </c>
      <c r="H151">
        <f>G151-MIN(F151,G151)</f>
        <v/>
      </c>
      <c r="I151">
        <f>MIN(F151-MIN(F151,G151),D151)</f>
        <v/>
      </c>
      <c r="J151">
        <f>D151-I151</f>
        <v/>
      </c>
      <c r="K151">
        <f>F151-MIN(F151,G151)-I151</f>
        <v/>
      </c>
    </row>
    <row r="152">
      <c r="A152" s="21">
        <f>IF(Rechner!$E$4&lt;&gt;"ok","",IF(Rechner!$E$5+150&lt;=Rechner!$B$6,Rechner!$E$5+150,""))</f>
        <v/>
      </c>
      <c r="B152">
        <f>IF(A152="","",LOOKUP(A152,Basiszins!$A$5:$A$18,Basiszins!$B$5:$B$18))</f>
        <v/>
      </c>
      <c r="C152">
        <f>IF(A152="","",B152+Rechner!$E$7)</f>
        <v/>
      </c>
      <c r="D152">
        <f>J151</f>
        <v/>
      </c>
      <c r="E152">
        <f>IF(A152="",0,D152*C152/100/(DATE(YEAR(A152)+1,1,1)-DATE(YEAR(A152),1,1)))</f>
        <v/>
      </c>
      <c r="F152">
        <f>IF(A152="",0,SUMIF(Rechner!$A$12:$A$21,A152,Rechner!$B$12:$B$21))</f>
        <v/>
      </c>
      <c r="G152">
        <f>H151+E152</f>
        <v/>
      </c>
      <c r="H152">
        <f>G152-MIN(F152,G152)</f>
        <v/>
      </c>
      <c r="I152">
        <f>MIN(F152-MIN(F152,G152),D152)</f>
        <v/>
      </c>
      <c r="J152">
        <f>D152-I152</f>
        <v/>
      </c>
      <c r="K152">
        <f>F152-MIN(F152,G152)-I152</f>
        <v/>
      </c>
    </row>
    <row r="153">
      <c r="A153" s="21">
        <f>IF(Rechner!$E$4&lt;&gt;"ok","",IF(Rechner!$E$5+151&lt;=Rechner!$B$6,Rechner!$E$5+151,""))</f>
        <v/>
      </c>
      <c r="B153">
        <f>IF(A153="","",LOOKUP(A153,Basiszins!$A$5:$A$18,Basiszins!$B$5:$B$18))</f>
        <v/>
      </c>
      <c r="C153">
        <f>IF(A153="","",B153+Rechner!$E$7)</f>
        <v/>
      </c>
      <c r="D153">
        <f>J152</f>
        <v/>
      </c>
      <c r="E153">
        <f>IF(A153="",0,D153*C153/100/(DATE(YEAR(A153)+1,1,1)-DATE(YEAR(A153),1,1)))</f>
        <v/>
      </c>
      <c r="F153">
        <f>IF(A153="",0,SUMIF(Rechner!$A$12:$A$21,A153,Rechner!$B$12:$B$21))</f>
        <v/>
      </c>
      <c r="G153">
        <f>H152+E153</f>
        <v/>
      </c>
      <c r="H153">
        <f>G153-MIN(F153,G153)</f>
        <v/>
      </c>
      <c r="I153">
        <f>MIN(F153-MIN(F153,G153),D153)</f>
        <v/>
      </c>
      <c r="J153">
        <f>D153-I153</f>
        <v/>
      </c>
      <c r="K153">
        <f>F153-MIN(F153,G153)-I153</f>
        <v/>
      </c>
    </row>
    <row r="154">
      <c r="A154" s="21">
        <f>IF(Rechner!$E$4&lt;&gt;"ok","",IF(Rechner!$E$5+152&lt;=Rechner!$B$6,Rechner!$E$5+152,""))</f>
        <v/>
      </c>
      <c r="B154">
        <f>IF(A154="","",LOOKUP(A154,Basiszins!$A$5:$A$18,Basiszins!$B$5:$B$18))</f>
        <v/>
      </c>
      <c r="C154">
        <f>IF(A154="","",B154+Rechner!$E$7)</f>
        <v/>
      </c>
      <c r="D154">
        <f>J153</f>
        <v/>
      </c>
      <c r="E154">
        <f>IF(A154="",0,D154*C154/100/(DATE(YEAR(A154)+1,1,1)-DATE(YEAR(A154),1,1)))</f>
        <v/>
      </c>
      <c r="F154">
        <f>IF(A154="",0,SUMIF(Rechner!$A$12:$A$21,A154,Rechner!$B$12:$B$21))</f>
        <v/>
      </c>
      <c r="G154">
        <f>H153+E154</f>
        <v/>
      </c>
      <c r="H154">
        <f>G154-MIN(F154,G154)</f>
        <v/>
      </c>
      <c r="I154">
        <f>MIN(F154-MIN(F154,G154),D154)</f>
        <v/>
      </c>
      <c r="J154">
        <f>D154-I154</f>
        <v/>
      </c>
      <c r="K154">
        <f>F154-MIN(F154,G154)-I154</f>
        <v/>
      </c>
    </row>
    <row r="155">
      <c r="A155" s="21">
        <f>IF(Rechner!$E$4&lt;&gt;"ok","",IF(Rechner!$E$5+153&lt;=Rechner!$B$6,Rechner!$E$5+153,""))</f>
        <v/>
      </c>
      <c r="B155">
        <f>IF(A155="","",LOOKUP(A155,Basiszins!$A$5:$A$18,Basiszins!$B$5:$B$18))</f>
        <v/>
      </c>
      <c r="C155">
        <f>IF(A155="","",B155+Rechner!$E$7)</f>
        <v/>
      </c>
      <c r="D155">
        <f>J154</f>
        <v/>
      </c>
      <c r="E155">
        <f>IF(A155="",0,D155*C155/100/(DATE(YEAR(A155)+1,1,1)-DATE(YEAR(A155),1,1)))</f>
        <v/>
      </c>
      <c r="F155">
        <f>IF(A155="",0,SUMIF(Rechner!$A$12:$A$21,A155,Rechner!$B$12:$B$21))</f>
        <v/>
      </c>
      <c r="G155">
        <f>H154+E155</f>
        <v/>
      </c>
      <c r="H155">
        <f>G155-MIN(F155,G155)</f>
        <v/>
      </c>
      <c r="I155">
        <f>MIN(F155-MIN(F155,G155),D155)</f>
        <v/>
      </c>
      <c r="J155">
        <f>D155-I155</f>
        <v/>
      </c>
      <c r="K155">
        <f>F155-MIN(F155,G155)-I155</f>
        <v/>
      </c>
    </row>
    <row r="156">
      <c r="A156" s="21">
        <f>IF(Rechner!$E$4&lt;&gt;"ok","",IF(Rechner!$E$5+154&lt;=Rechner!$B$6,Rechner!$E$5+154,""))</f>
        <v/>
      </c>
      <c r="B156">
        <f>IF(A156="","",LOOKUP(A156,Basiszins!$A$5:$A$18,Basiszins!$B$5:$B$18))</f>
        <v/>
      </c>
      <c r="C156">
        <f>IF(A156="","",B156+Rechner!$E$7)</f>
        <v/>
      </c>
      <c r="D156">
        <f>J155</f>
        <v/>
      </c>
      <c r="E156">
        <f>IF(A156="",0,D156*C156/100/(DATE(YEAR(A156)+1,1,1)-DATE(YEAR(A156),1,1)))</f>
        <v/>
      </c>
      <c r="F156">
        <f>IF(A156="",0,SUMIF(Rechner!$A$12:$A$21,A156,Rechner!$B$12:$B$21))</f>
        <v/>
      </c>
      <c r="G156">
        <f>H155+E156</f>
        <v/>
      </c>
      <c r="H156">
        <f>G156-MIN(F156,G156)</f>
        <v/>
      </c>
      <c r="I156">
        <f>MIN(F156-MIN(F156,G156),D156)</f>
        <v/>
      </c>
      <c r="J156">
        <f>D156-I156</f>
        <v/>
      </c>
      <c r="K156">
        <f>F156-MIN(F156,G156)-I156</f>
        <v/>
      </c>
    </row>
    <row r="157">
      <c r="A157" s="21">
        <f>IF(Rechner!$E$4&lt;&gt;"ok","",IF(Rechner!$E$5+155&lt;=Rechner!$B$6,Rechner!$E$5+155,""))</f>
        <v/>
      </c>
      <c r="B157">
        <f>IF(A157="","",LOOKUP(A157,Basiszins!$A$5:$A$18,Basiszins!$B$5:$B$18))</f>
        <v/>
      </c>
      <c r="C157">
        <f>IF(A157="","",B157+Rechner!$E$7)</f>
        <v/>
      </c>
      <c r="D157">
        <f>J156</f>
        <v/>
      </c>
      <c r="E157">
        <f>IF(A157="",0,D157*C157/100/(DATE(YEAR(A157)+1,1,1)-DATE(YEAR(A157),1,1)))</f>
        <v/>
      </c>
      <c r="F157">
        <f>IF(A157="",0,SUMIF(Rechner!$A$12:$A$21,A157,Rechner!$B$12:$B$21))</f>
        <v/>
      </c>
      <c r="G157">
        <f>H156+E157</f>
        <v/>
      </c>
      <c r="H157">
        <f>G157-MIN(F157,G157)</f>
        <v/>
      </c>
      <c r="I157">
        <f>MIN(F157-MIN(F157,G157),D157)</f>
        <v/>
      </c>
      <c r="J157">
        <f>D157-I157</f>
        <v/>
      </c>
      <c r="K157">
        <f>F157-MIN(F157,G157)-I157</f>
        <v/>
      </c>
    </row>
    <row r="158">
      <c r="A158" s="21">
        <f>IF(Rechner!$E$4&lt;&gt;"ok","",IF(Rechner!$E$5+156&lt;=Rechner!$B$6,Rechner!$E$5+156,""))</f>
        <v/>
      </c>
      <c r="B158">
        <f>IF(A158="","",LOOKUP(A158,Basiszins!$A$5:$A$18,Basiszins!$B$5:$B$18))</f>
        <v/>
      </c>
      <c r="C158">
        <f>IF(A158="","",B158+Rechner!$E$7)</f>
        <v/>
      </c>
      <c r="D158">
        <f>J157</f>
        <v/>
      </c>
      <c r="E158">
        <f>IF(A158="",0,D158*C158/100/(DATE(YEAR(A158)+1,1,1)-DATE(YEAR(A158),1,1)))</f>
        <v/>
      </c>
      <c r="F158">
        <f>IF(A158="",0,SUMIF(Rechner!$A$12:$A$21,A158,Rechner!$B$12:$B$21))</f>
        <v/>
      </c>
      <c r="G158">
        <f>H157+E158</f>
        <v/>
      </c>
      <c r="H158">
        <f>G158-MIN(F158,G158)</f>
        <v/>
      </c>
      <c r="I158">
        <f>MIN(F158-MIN(F158,G158),D158)</f>
        <v/>
      </c>
      <c r="J158">
        <f>D158-I158</f>
        <v/>
      </c>
      <c r="K158">
        <f>F158-MIN(F158,G158)-I158</f>
        <v/>
      </c>
    </row>
    <row r="159">
      <c r="A159" s="21">
        <f>IF(Rechner!$E$4&lt;&gt;"ok","",IF(Rechner!$E$5+157&lt;=Rechner!$B$6,Rechner!$E$5+157,""))</f>
        <v/>
      </c>
      <c r="B159">
        <f>IF(A159="","",LOOKUP(A159,Basiszins!$A$5:$A$18,Basiszins!$B$5:$B$18))</f>
        <v/>
      </c>
      <c r="C159">
        <f>IF(A159="","",B159+Rechner!$E$7)</f>
        <v/>
      </c>
      <c r="D159">
        <f>J158</f>
        <v/>
      </c>
      <c r="E159">
        <f>IF(A159="",0,D159*C159/100/(DATE(YEAR(A159)+1,1,1)-DATE(YEAR(A159),1,1)))</f>
        <v/>
      </c>
      <c r="F159">
        <f>IF(A159="",0,SUMIF(Rechner!$A$12:$A$21,A159,Rechner!$B$12:$B$21))</f>
        <v/>
      </c>
      <c r="G159">
        <f>H158+E159</f>
        <v/>
      </c>
      <c r="H159">
        <f>G159-MIN(F159,G159)</f>
        <v/>
      </c>
      <c r="I159">
        <f>MIN(F159-MIN(F159,G159),D159)</f>
        <v/>
      </c>
      <c r="J159">
        <f>D159-I159</f>
        <v/>
      </c>
      <c r="K159">
        <f>F159-MIN(F159,G159)-I159</f>
        <v/>
      </c>
    </row>
    <row r="160">
      <c r="A160" s="21">
        <f>IF(Rechner!$E$4&lt;&gt;"ok","",IF(Rechner!$E$5+158&lt;=Rechner!$B$6,Rechner!$E$5+158,""))</f>
        <v/>
      </c>
      <c r="B160">
        <f>IF(A160="","",LOOKUP(A160,Basiszins!$A$5:$A$18,Basiszins!$B$5:$B$18))</f>
        <v/>
      </c>
      <c r="C160">
        <f>IF(A160="","",B160+Rechner!$E$7)</f>
        <v/>
      </c>
      <c r="D160">
        <f>J159</f>
        <v/>
      </c>
      <c r="E160">
        <f>IF(A160="",0,D160*C160/100/(DATE(YEAR(A160)+1,1,1)-DATE(YEAR(A160),1,1)))</f>
        <v/>
      </c>
      <c r="F160">
        <f>IF(A160="",0,SUMIF(Rechner!$A$12:$A$21,A160,Rechner!$B$12:$B$21))</f>
        <v/>
      </c>
      <c r="G160">
        <f>H159+E160</f>
        <v/>
      </c>
      <c r="H160">
        <f>G160-MIN(F160,G160)</f>
        <v/>
      </c>
      <c r="I160">
        <f>MIN(F160-MIN(F160,G160),D160)</f>
        <v/>
      </c>
      <c r="J160">
        <f>D160-I160</f>
        <v/>
      </c>
      <c r="K160">
        <f>F160-MIN(F160,G160)-I160</f>
        <v/>
      </c>
    </row>
    <row r="161">
      <c r="A161" s="21">
        <f>IF(Rechner!$E$4&lt;&gt;"ok","",IF(Rechner!$E$5+159&lt;=Rechner!$B$6,Rechner!$E$5+159,""))</f>
        <v/>
      </c>
      <c r="B161">
        <f>IF(A161="","",LOOKUP(A161,Basiszins!$A$5:$A$18,Basiszins!$B$5:$B$18))</f>
        <v/>
      </c>
      <c r="C161">
        <f>IF(A161="","",B161+Rechner!$E$7)</f>
        <v/>
      </c>
      <c r="D161">
        <f>J160</f>
        <v/>
      </c>
      <c r="E161">
        <f>IF(A161="",0,D161*C161/100/(DATE(YEAR(A161)+1,1,1)-DATE(YEAR(A161),1,1)))</f>
        <v/>
      </c>
      <c r="F161">
        <f>IF(A161="",0,SUMIF(Rechner!$A$12:$A$21,A161,Rechner!$B$12:$B$21))</f>
        <v/>
      </c>
      <c r="G161">
        <f>H160+E161</f>
        <v/>
      </c>
      <c r="H161">
        <f>G161-MIN(F161,G161)</f>
        <v/>
      </c>
      <c r="I161">
        <f>MIN(F161-MIN(F161,G161),D161)</f>
        <v/>
      </c>
      <c r="J161">
        <f>D161-I161</f>
        <v/>
      </c>
      <c r="K161">
        <f>F161-MIN(F161,G161)-I161</f>
        <v/>
      </c>
    </row>
    <row r="162">
      <c r="A162" s="21">
        <f>IF(Rechner!$E$4&lt;&gt;"ok","",IF(Rechner!$E$5+160&lt;=Rechner!$B$6,Rechner!$E$5+160,""))</f>
        <v/>
      </c>
      <c r="B162">
        <f>IF(A162="","",LOOKUP(A162,Basiszins!$A$5:$A$18,Basiszins!$B$5:$B$18))</f>
        <v/>
      </c>
      <c r="C162">
        <f>IF(A162="","",B162+Rechner!$E$7)</f>
        <v/>
      </c>
      <c r="D162">
        <f>J161</f>
        <v/>
      </c>
      <c r="E162">
        <f>IF(A162="",0,D162*C162/100/(DATE(YEAR(A162)+1,1,1)-DATE(YEAR(A162),1,1)))</f>
        <v/>
      </c>
      <c r="F162">
        <f>IF(A162="",0,SUMIF(Rechner!$A$12:$A$21,A162,Rechner!$B$12:$B$21))</f>
        <v/>
      </c>
      <c r="G162">
        <f>H161+E162</f>
        <v/>
      </c>
      <c r="H162">
        <f>G162-MIN(F162,G162)</f>
        <v/>
      </c>
      <c r="I162">
        <f>MIN(F162-MIN(F162,G162),D162)</f>
        <v/>
      </c>
      <c r="J162">
        <f>D162-I162</f>
        <v/>
      </c>
      <c r="K162">
        <f>F162-MIN(F162,G162)-I162</f>
        <v/>
      </c>
    </row>
    <row r="163">
      <c r="A163" s="21">
        <f>IF(Rechner!$E$4&lt;&gt;"ok","",IF(Rechner!$E$5+161&lt;=Rechner!$B$6,Rechner!$E$5+161,""))</f>
        <v/>
      </c>
      <c r="B163">
        <f>IF(A163="","",LOOKUP(A163,Basiszins!$A$5:$A$18,Basiszins!$B$5:$B$18))</f>
        <v/>
      </c>
      <c r="C163">
        <f>IF(A163="","",B163+Rechner!$E$7)</f>
        <v/>
      </c>
      <c r="D163">
        <f>J162</f>
        <v/>
      </c>
      <c r="E163">
        <f>IF(A163="",0,D163*C163/100/(DATE(YEAR(A163)+1,1,1)-DATE(YEAR(A163),1,1)))</f>
        <v/>
      </c>
      <c r="F163">
        <f>IF(A163="",0,SUMIF(Rechner!$A$12:$A$21,A163,Rechner!$B$12:$B$21))</f>
        <v/>
      </c>
      <c r="G163">
        <f>H162+E163</f>
        <v/>
      </c>
      <c r="H163">
        <f>G163-MIN(F163,G163)</f>
        <v/>
      </c>
      <c r="I163">
        <f>MIN(F163-MIN(F163,G163),D163)</f>
        <v/>
      </c>
      <c r="J163">
        <f>D163-I163</f>
        <v/>
      </c>
      <c r="K163">
        <f>F163-MIN(F163,G163)-I163</f>
        <v/>
      </c>
    </row>
    <row r="164">
      <c r="A164" s="21">
        <f>IF(Rechner!$E$4&lt;&gt;"ok","",IF(Rechner!$E$5+162&lt;=Rechner!$B$6,Rechner!$E$5+162,""))</f>
        <v/>
      </c>
      <c r="B164">
        <f>IF(A164="","",LOOKUP(A164,Basiszins!$A$5:$A$18,Basiszins!$B$5:$B$18))</f>
        <v/>
      </c>
      <c r="C164">
        <f>IF(A164="","",B164+Rechner!$E$7)</f>
        <v/>
      </c>
      <c r="D164">
        <f>J163</f>
        <v/>
      </c>
      <c r="E164">
        <f>IF(A164="",0,D164*C164/100/(DATE(YEAR(A164)+1,1,1)-DATE(YEAR(A164),1,1)))</f>
        <v/>
      </c>
      <c r="F164">
        <f>IF(A164="",0,SUMIF(Rechner!$A$12:$A$21,A164,Rechner!$B$12:$B$21))</f>
        <v/>
      </c>
      <c r="G164">
        <f>H163+E164</f>
        <v/>
      </c>
      <c r="H164">
        <f>G164-MIN(F164,G164)</f>
        <v/>
      </c>
      <c r="I164">
        <f>MIN(F164-MIN(F164,G164),D164)</f>
        <v/>
      </c>
      <c r="J164">
        <f>D164-I164</f>
        <v/>
      </c>
      <c r="K164">
        <f>F164-MIN(F164,G164)-I164</f>
        <v/>
      </c>
    </row>
    <row r="165">
      <c r="A165" s="21">
        <f>IF(Rechner!$E$4&lt;&gt;"ok","",IF(Rechner!$E$5+163&lt;=Rechner!$B$6,Rechner!$E$5+163,""))</f>
        <v/>
      </c>
      <c r="B165">
        <f>IF(A165="","",LOOKUP(A165,Basiszins!$A$5:$A$18,Basiszins!$B$5:$B$18))</f>
        <v/>
      </c>
      <c r="C165">
        <f>IF(A165="","",B165+Rechner!$E$7)</f>
        <v/>
      </c>
      <c r="D165">
        <f>J164</f>
        <v/>
      </c>
      <c r="E165">
        <f>IF(A165="",0,D165*C165/100/(DATE(YEAR(A165)+1,1,1)-DATE(YEAR(A165),1,1)))</f>
        <v/>
      </c>
      <c r="F165">
        <f>IF(A165="",0,SUMIF(Rechner!$A$12:$A$21,A165,Rechner!$B$12:$B$21))</f>
        <v/>
      </c>
      <c r="G165">
        <f>H164+E165</f>
        <v/>
      </c>
      <c r="H165">
        <f>G165-MIN(F165,G165)</f>
        <v/>
      </c>
      <c r="I165">
        <f>MIN(F165-MIN(F165,G165),D165)</f>
        <v/>
      </c>
      <c r="J165">
        <f>D165-I165</f>
        <v/>
      </c>
      <c r="K165">
        <f>F165-MIN(F165,G165)-I165</f>
        <v/>
      </c>
    </row>
    <row r="166">
      <c r="A166" s="21">
        <f>IF(Rechner!$E$4&lt;&gt;"ok","",IF(Rechner!$E$5+164&lt;=Rechner!$B$6,Rechner!$E$5+164,""))</f>
        <v/>
      </c>
      <c r="B166">
        <f>IF(A166="","",LOOKUP(A166,Basiszins!$A$5:$A$18,Basiszins!$B$5:$B$18))</f>
        <v/>
      </c>
      <c r="C166">
        <f>IF(A166="","",B166+Rechner!$E$7)</f>
        <v/>
      </c>
      <c r="D166">
        <f>J165</f>
        <v/>
      </c>
      <c r="E166">
        <f>IF(A166="",0,D166*C166/100/(DATE(YEAR(A166)+1,1,1)-DATE(YEAR(A166),1,1)))</f>
        <v/>
      </c>
      <c r="F166">
        <f>IF(A166="",0,SUMIF(Rechner!$A$12:$A$21,A166,Rechner!$B$12:$B$21))</f>
        <v/>
      </c>
      <c r="G166">
        <f>H165+E166</f>
        <v/>
      </c>
      <c r="H166">
        <f>G166-MIN(F166,G166)</f>
        <v/>
      </c>
      <c r="I166">
        <f>MIN(F166-MIN(F166,G166),D166)</f>
        <v/>
      </c>
      <c r="J166">
        <f>D166-I166</f>
        <v/>
      </c>
      <c r="K166">
        <f>F166-MIN(F166,G166)-I166</f>
        <v/>
      </c>
    </row>
    <row r="167">
      <c r="A167" s="21">
        <f>IF(Rechner!$E$4&lt;&gt;"ok","",IF(Rechner!$E$5+165&lt;=Rechner!$B$6,Rechner!$E$5+165,""))</f>
        <v/>
      </c>
      <c r="B167">
        <f>IF(A167="","",LOOKUP(A167,Basiszins!$A$5:$A$18,Basiszins!$B$5:$B$18))</f>
        <v/>
      </c>
      <c r="C167">
        <f>IF(A167="","",B167+Rechner!$E$7)</f>
        <v/>
      </c>
      <c r="D167">
        <f>J166</f>
        <v/>
      </c>
      <c r="E167">
        <f>IF(A167="",0,D167*C167/100/(DATE(YEAR(A167)+1,1,1)-DATE(YEAR(A167),1,1)))</f>
        <v/>
      </c>
      <c r="F167">
        <f>IF(A167="",0,SUMIF(Rechner!$A$12:$A$21,A167,Rechner!$B$12:$B$21))</f>
        <v/>
      </c>
      <c r="G167">
        <f>H166+E167</f>
        <v/>
      </c>
      <c r="H167">
        <f>G167-MIN(F167,G167)</f>
        <v/>
      </c>
      <c r="I167">
        <f>MIN(F167-MIN(F167,G167),D167)</f>
        <v/>
      </c>
      <c r="J167">
        <f>D167-I167</f>
        <v/>
      </c>
      <c r="K167">
        <f>F167-MIN(F167,G167)-I167</f>
        <v/>
      </c>
    </row>
    <row r="168">
      <c r="A168" s="21">
        <f>IF(Rechner!$E$4&lt;&gt;"ok","",IF(Rechner!$E$5+166&lt;=Rechner!$B$6,Rechner!$E$5+166,""))</f>
        <v/>
      </c>
      <c r="B168">
        <f>IF(A168="","",LOOKUP(A168,Basiszins!$A$5:$A$18,Basiszins!$B$5:$B$18))</f>
        <v/>
      </c>
      <c r="C168">
        <f>IF(A168="","",B168+Rechner!$E$7)</f>
        <v/>
      </c>
      <c r="D168">
        <f>J167</f>
        <v/>
      </c>
      <c r="E168">
        <f>IF(A168="",0,D168*C168/100/(DATE(YEAR(A168)+1,1,1)-DATE(YEAR(A168),1,1)))</f>
        <v/>
      </c>
      <c r="F168">
        <f>IF(A168="",0,SUMIF(Rechner!$A$12:$A$21,A168,Rechner!$B$12:$B$21))</f>
        <v/>
      </c>
      <c r="G168">
        <f>H167+E168</f>
        <v/>
      </c>
      <c r="H168">
        <f>G168-MIN(F168,G168)</f>
        <v/>
      </c>
      <c r="I168">
        <f>MIN(F168-MIN(F168,G168),D168)</f>
        <v/>
      </c>
      <c r="J168">
        <f>D168-I168</f>
        <v/>
      </c>
      <c r="K168">
        <f>F168-MIN(F168,G168)-I168</f>
        <v/>
      </c>
    </row>
    <row r="169">
      <c r="A169" s="21">
        <f>IF(Rechner!$E$4&lt;&gt;"ok","",IF(Rechner!$E$5+167&lt;=Rechner!$B$6,Rechner!$E$5+167,""))</f>
        <v/>
      </c>
      <c r="B169">
        <f>IF(A169="","",LOOKUP(A169,Basiszins!$A$5:$A$18,Basiszins!$B$5:$B$18))</f>
        <v/>
      </c>
      <c r="C169">
        <f>IF(A169="","",B169+Rechner!$E$7)</f>
        <v/>
      </c>
      <c r="D169">
        <f>J168</f>
        <v/>
      </c>
      <c r="E169">
        <f>IF(A169="",0,D169*C169/100/(DATE(YEAR(A169)+1,1,1)-DATE(YEAR(A169),1,1)))</f>
        <v/>
      </c>
      <c r="F169">
        <f>IF(A169="",0,SUMIF(Rechner!$A$12:$A$21,A169,Rechner!$B$12:$B$21))</f>
        <v/>
      </c>
      <c r="G169">
        <f>H168+E169</f>
        <v/>
      </c>
      <c r="H169">
        <f>G169-MIN(F169,G169)</f>
        <v/>
      </c>
      <c r="I169">
        <f>MIN(F169-MIN(F169,G169),D169)</f>
        <v/>
      </c>
      <c r="J169">
        <f>D169-I169</f>
        <v/>
      </c>
      <c r="K169">
        <f>F169-MIN(F169,G169)-I169</f>
        <v/>
      </c>
    </row>
    <row r="170">
      <c r="A170" s="21">
        <f>IF(Rechner!$E$4&lt;&gt;"ok","",IF(Rechner!$E$5+168&lt;=Rechner!$B$6,Rechner!$E$5+168,""))</f>
        <v/>
      </c>
      <c r="B170">
        <f>IF(A170="","",LOOKUP(A170,Basiszins!$A$5:$A$18,Basiszins!$B$5:$B$18))</f>
        <v/>
      </c>
      <c r="C170">
        <f>IF(A170="","",B170+Rechner!$E$7)</f>
        <v/>
      </c>
      <c r="D170">
        <f>J169</f>
        <v/>
      </c>
      <c r="E170">
        <f>IF(A170="",0,D170*C170/100/(DATE(YEAR(A170)+1,1,1)-DATE(YEAR(A170),1,1)))</f>
        <v/>
      </c>
      <c r="F170">
        <f>IF(A170="",0,SUMIF(Rechner!$A$12:$A$21,A170,Rechner!$B$12:$B$21))</f>
        <v/>
      </c>
      <c r="G170">
        <f>H169+E170</f>
        <v/>
      </c>
      <c r="H170">
        <f>G170-MIN(F170,G170)</f>
        <v/>
      </c>
      <c r="I170">
        <f>MIN(F170-MIN(F170,G170),D170)</f>
        <v/>
      </c>
      <c r="J170">
        <f>D170-I170</f>
        <v/>
      </c>
      <c r="K170">
        <f>F170-MIN(F170,G170)-I170</f>
        <v/>
      </c>
    </row>
    <row r="171">
      <c r="A171" s="21">
        <f>IF(Rechner!$E$4&lt;&gt;"ok","",IF(Rechner!$E$5+169&lt;=Rechner!$B$6,Rechner!$E$5+169,""))</f>
        <v/>
      </c>
      <c r="B171">
        <f>IF(A171="","",LOOKUP(A171,Basiszins!$A$5:$A$18,Basiszins!$B$5:$B$18))</f>
        <v/>
      </c>
      <c r="C171">
        <f>IF(A171="","",B171+Rechner!$E$7)</f>
        <v/>
      </c>
      <c r="D171">
        <f>J170</f>
        <v/>
      </c>
      <c r="E171">
        <f>IF(A171="",0,D171*C171/100/(DATE(YEAR(A171)+1,1,1)-DATE(YEAR(A171),1,1)))</f>
        <v/>
      </c>
      <c r="F171">
        <f>IF(A171="",0,SUMIF(Rechner!$A$12:$A$21,A171,Rechner!$B$12:$B$21))</f>
        <v/>
      </c>
      <c r="G171">
        <f>H170+E171</f>
        <v/>
      </c>
      <c r="H171">
        <f>G171-MIN(F171,G171)</f>
        <v/>
      </c>
      <c r="I171">
        <f>MIN(F171-MIN(F171,G171),D171)</f>
        <v/>
      </c>
      <c r="J171">
        <f>D171-I171</f>
        <v/>
      </c>
      <c r="K171">
        <f>F171-MIN(F171,G171)-I171</f>
        <v/>
      </c>
    </row>
    <row r="172">
      <c r="A172" s="21">
        <f>IF(Rechner!$E$4&lt;&gt;"ok","",IF(Rechner!$E$5+170&lt;=Rechner!$B$6,Rechner!$E$5+170,""))</f>
        <v/>
      </c>
      <c r="B172">
        <f>IF(A172="","",LOOKUP(A172,Basiszins!$A$5:$A$18,Basiszins!$B$5:$B$18))</f>
        <v/>
      </c>
      <c r="C172">
        <f>IF(A172="","",B172+Rechner!$E$7)</f>
        <v/>
      </c>
      <c r="D172">
        <f>J171</f>
        <v/>
      </c>
      <c r="E172">
        <f>IF(A172="",0,D172*C172/100/(DATE(YEAR(A172)+1,1,1)-DATE(YEAR(A172),1,1)))</f>
        <v/>
      </c>
      <c r="F172">
        <f>IF(A172="",0,SUMIF(Rechner!$A$12:$A$21,A172,Rechner!$B$12:$B$21))</f>
        <v/>
      </c>
      <c r="G172">
        <f>H171+E172</f>
        <v/>
      </c>
      <c r="H172">
        <f>G172-MIN(F172,G172)</f>
        <v/>
      </c>
      <c r="I172">
        <f>MIN(F172-MIN(F172,G172),D172)</f>
        <v/>
      </c>
      <c r="J172">
        <f>D172-I172</f>
        <v/>
      </c>
      <c r="K172">
        <f>F172-MIN(F172,G172)-I172</f>
        <v/>
      </c>
    </row>
    <row r="173">
      <c r="A173" s="21">
        <f>IF(Rechner!$E$4&lt;&gt;"ok","",IF(Rechner!$E$5+171&lt;=Rechner!$B$6,Rechner!$E$5+171,""))</f>
        <v/>
      </c>
      <c r="B173">
        <f>IF(A173="","",LOOKUP(A173,Basiszins!$A$5:$A$18,Basiszins!$B$5:$B$18))</f>
        <v/>
      </c>
      <c r="C173">
        <f>IF(A173="","",B173+Rechner!$E$7)</f>
        <v/>
      </c>
      <c r="D173">
        <f>J172</f>
        <v/>
      </c>
      <c r="E173">
        <f>IF(A173="",0,D173*C173/100/(DATE(YEAR(A173)+1,1,1)-DATE(YEAR(A173),1,1)))</f>
        <v/>
      </c>
      <c r="F173">
        <f>IF(A173="",0,SUMIF(Rechner!$A$12:$A$21,A173,Rechner!$B$12:$B$21))</f>
        <v/>
      </c>
      <c r="G173">
        <f>H172+E173</f>
        <v/>
      </c>
      <c r="H173">
        <f>G173-MIN(F173,G173)</f>
        <v/>
      </c>
      <c r="I173">
        <f>MIN(F173-MIN(F173,G173),D173)</f>
        <v/>
      </c>
      <c r="J173">
        <f>D173-I173</f>
        <v/>
      </c>
      <c r="K173">
        <f>F173-MIN(F173,G173)-I173</f>
        <v/>
      </c>
    </row>
    <row r="174">
      <c r="A174" s="21">
        <f>IF(Rechner!$E$4&lt;&gt;"ok","",IF(Rechner!$E$5+172&lt;=Rechner!$B$6,Rechner!$E$5+172,""))</f>
        <v/>
      </c>
      <c r="B174">
        <f>IF(A174="","",LOOKUP(A174,Basiszins!$A$5:$A$18,Basiszins!$B$5:$B$18))</f>
        <v/>
      </c>
      <c r="C174">
        <f>IF(A174="","",B174+Rechner!$E$7)</f>
        <v/>
      </c>
      <c r="D174">
        <f>J173</f>
        <v/>
      </c>
      <c r="E174">
        <f>IF(A174="",0,D174*C174/100/(DATE(YEAR(A174)+1,1,1)-DATE(YEAR(A174),1,1)))</f>
        <v/>
      </c>
      <c r="F174">
        <f>IF(A174="",0,SUMIF(Rechner!$A$12:$A$21,A174,Rechner!$B$12:$B$21))</f>
        <v/>
      </c>
      <c r="G174">
        <f>H173+E174</f>
        <v/>
      </c>
      <c r="H174">
        <f>G174-MIN(F174,G174)</f>
        <v/>
      </c>
      <c r="I174">
        <f>MIN(F174-MIN(F174,G174),D174)</f>
        <v/>
      </c>
      <c r="J174">
        <f>D174-I174</f>
        <v/>
      </c>
      <c r="K174">
        <f>F174-MIN(F174,G174)-I174</f>
        <v/>
      </c>
    </row>
    <row r="175">
      <c r="A175" s="21">
        <f>IF(Rechner!$E$4&lt;&gt;"ok","",IF(Rechner!$E$5+173&lt;=Rechner!$B$6,Rechner!$E$5+173,""))</f>
        <v/>
      </c>
      <c r="B175">
        <f>IF(A175="","",LOOKUP(A175,Basiszins!$A$5:$A$18,Basiszins!$B$5:$B$18))</f>
        <v/>
      </c>
      <c r="C175">
        <f>IF(A175="","",B175+Rechner!$E$7)</f>
        <v/>
      </c>
      <c r="D175">
        <f>J174</f>
        <v/>
      </c>
      <c r="E175">
        <f>IF(A175="",0,D175*C175/100/(DATE(YEAR(A175)+1,1,1)-DATE(YEAR(A175),1,1)))</f>
        <v/>
      </c>
      <c r="F175">
        <f>IF(A175="",0,SUMIF(Rechner!$A$12:$A$21,A175,Rechner!$B$12:$B$21))</f>
        <v/>
      </c>
      <c r="G175">
        <f>H174+E175</f>
        <v/>
      </c>
      <c r="H175">
        <f>G175-MIN(F175,G175)</f>
        <v/>
      </c>
      <c r="I175">
        <f>MIN(F175-MIN(F175,G175),D175)</f>
        <v/>
      </c>
      <c r="J175">
        <f>D175-I175</f>
        <v/>
      </c>
      <c r="K175">
        <f>F175-MIN(F175,G175)-I175</f>
        <v/>
      </c>
    </row>
    <row r="176">
      <c r="A176" s="21">
        <f>IF(Rechner!$E$4&lt;&gt;"ok","",IF(Rechner!$E$5+174&lt;=Rechner!$B$6,Rechner!$E$5+174,""))</f>
        <v/>
      </c>
      <c r="B176">
        <f>IF(A176="","",LOOKUP(A176,Basiszins!$A$5:$A$18,Basiszins!$B$5:$B$18))</f>
        <v/>
      </c>
      <c r="C176">
        <f>IF(A176="","",B176+Rechner!$E$7)</f>
        <v/>
      </c>
      <c r="D176">
        <f>J175</f>
        <v/>
      </c>
      <c r="E176">
        <f>IF(A176="",0,D176*C176/100/(DATE(YEAR(A176)+1,1,1)-DATE(YEAR(A176),1,1)))</f>
        <v/>
      </c>
      <c r="F176">
        <f>IF(A176="",0,SUMIF(Rechner!$A$12:$A$21,A176,Rechner!$B$12:$B$21))</f>
        <v/>
      </c>
      <c r="G176">
        <f>H175+E176</f>
        <v/>
      </c>
      <c r="H176">
        <f>G176-MIN(F176,G176)</f>
        <v/>
      </c>
      <c r="I176">
        <f>MIN(F176-MIN(F176,G176),D176)</f>
        <v/>
      </c>
      <c r="J176">
        <f>D176-I176</f>
        <v/>
      </c>
      <c r="K176">
        <f>F176-MIN(F176,G176)-I176</f>
        <v/>
      </c>
    </row>
    <row r="177">
      <c r="A177" s="21">
        <f>IF(Rechner!$E$4&lt;&gt;"ok","",IF(Rechner!$E$5+175&lt;=Rechner!$B$6,Rechner!$E$5+175,""))</f>
        <v/>
      </c>
      <c r="B177">
        <f>IF(A177="","",LOOKUP(A177,Basiszins!$A$5:$A$18,Basiszins!$B$5:$B$18))</f>
        <v/>
      </c>
      <c r="C177">
        <f>IF(A177="","",B177+Rechner!$E$7)</f>
        <v/>
      </c>
      <c r="D177">
        <f>J176</f>
        <v/>
      </c>
      <c r="E177">
        <f>IF(A177="",0,D177*C177/100/(DATE(YEAR(A177)+1,1,1)-DATE(YEAR(A177),1,1)))</f>
        <v/>
      </c>
      <c r="F177">
        <f>IF(A177="",0,SUMIF(Rechner!$A$12:$A$21,A177,Rechner!$B$12:$B$21))</f>
        <v/>
      </c>
      <c r="G177">
        <f>H176+E177</f>
        <v/>
      </c>
      <c r="H177">
        <f>G177-MIN(F177,G177)</f>
        <v/>
      </c>
      <c r="I177">
        <f>MIN(F177-MIN(F177,G177),D177)</f>
        <v/>
      </c>
      <c r="J177">
        <f>D177-I177</f>
        <v/>
      </c>
      <c r="K177">
        <f>F177-MIN(F177,G177)-I177</f>
        <v/>
      </c>
    </row>
    <row r="178">
      <c r="A178" s="21">
        <f>IF(Rechner!$E$4&lt;&gt;"ok","",IF(Rechner!$E$5+176&lt;=Rechner!$B$6,Rechner!$E$5+176,""))</f>
        <v/>
      </c>
      <c r="B178">
        <f>IF(A178="","",LOOKUP(A178,Basiszins!$A$5:$A$18,Basiszins!$B$5:$B$18))</f>
        <v/>
      </c>
      <c r="C178">
        <f>IF(A178="","",B178+Rechner!$E$7)</f>
        <v/>
      </c>
      <c r="D178">
        <f>J177</f>
        <v/>
      </c>
      <c r="E178">
        <f>IF(A178="",0,D178*C178/100/(DATE(YEAR(A178)+1,1,1)-DATE(YEAR(A178),1,1)))</f>
        <v/>
      </c>
      <c r="F178">
        <f>IF(A178="",0,SUMIF(Rechner!$A$12:$A$21,A178,Rechner!$B$12:$B$21))</f>
        <v/>
      </c>
      <c r="G178">
        <f>H177+E178</f>
        <v/>
      </c>
      <c r="H178">
        <f>G178-MIN(F178,G178)</f>
        <v/>
      </c>
      <c r="I178">
        <f>MIN(F178-MIN(F178,G178),D178)</f>
        <v/>
      </c>
      <c r="J178">
        <f>D178-I178</f>
        <v/>
      </c>
      <c r="K178">
        <f>F178-MIN(F178,G178)-I178</f>
        <v/>
      </c>
    </row>
    <row r="179">
      <c r="A179" s="21">
        <f>IF(Rechner!$E$4&lt;&gt;"ok","",IF(Rechner!$E$5+177&lt;=Rechner!$B$6,Rechner!$E$5+177,""))</f>
        <v/>
      </c>
      <c r="B179">
        <f>IF(A179="","",LOOKUP(A179,Basiszins!$A$5:$A$18,Basiszins!$B$5:$B$18))</f>
        <v/>
      </c>
      <c r="C179">
        <f>IF(A179="","",B179+Rechner!$E$7)</f>
        <v/>
      </c>
      <c r="D179">
        <f>J178</f>
        <v/>
      </c>
      <c r="E179">
        <f>IF(A179="",0,D179*C179/100/(DATE(YEAR(A179)+1,1,1)-DATE(YEAR(A179),1,1)))</f>
        <v/>
      </c>
      <c r="F179">
        <f>IF(A179="",0,SUMIF(Rechner!$A$12:$A$21,A179,Rechner!$B$12:$B$21))</f>
        <v/>
      </c>
      <c r="G179">
        <f>H178+E179</f>
        <v/>
      </c>
      <c r="H179">
        <f>G179-MIN(F179,G179)</f>
        <v/>
      </c>
      <c r="I179">
        <f>MIN(F179-MIN(F179,G179),D179)</f>
        <v/>
      </c>
      <c r="J179">
        <f>D179-I179</f>
        <v/>
      </c>
      <c r="K179">
        <f>F179-MIN(F179,G179)-I179</f>
        <v/>
      </c>
    </row>
    <row r="180">
      <c r="A180" s="21">
        <f>IF(Rechner!$E$4&lt;&gt;"ok","",IF(Rechner!$E$5+178&lt;=Rechner!$B$6,Rechner!$E$5+178,""))</f>
        <v/>
      </c>
      <c r="B180">
        <f>IF(A180="","",LOOKUP(A180,Basiszins!$A$5:$A$18,Basiszins!$B$5:$B$18))</f>
        <v/>
      </c>
      <c r="C180">
        <f>IF(A180="","",B180+Rechner!$E$7)</f>
        <v/>
      </c>
      <c r="D180">
        <f>J179</f>
        <v/>
      </c>
      <c r="E180">
        <f>IF(A180="",0,D180*C180/100/(DATE(YEAR(A180)+1,1,1)-DATE(YEAR(A180),1,1)))</f>
        <v/>
      </c>
      <c r="F180">
        <f>IF(A180="",0,SUMIF(Rechner!$A$12:$A$21,A180,Rechner!$B$12:$B$21))</f>
        <v/>
      </c>
      <c r="G180">
        <f>H179+E180</f>
        <v/>
      </c>
      <c r="H180">
        <f>G180-MIN(F180,G180)</f>
        <v/>
      </c>
      <c r="I180">
        <f>MIN(F180-MIN(F180,G180),D180)</f>
        <v/>
      </c>
      <c r="J180">
        <f>D180-I180</f>
        <v/>
      </c>
      <c r="K180">
        <f>F180-MIN(F180,G180)-I180</f>
        <v/>
      </c>
    </row>
    <row r="181">
      <c r="A181" s="21">
        <f>IF(Rechner!$E$4&lt;&gt;"ok","",IF(Rechner!$E$5+179&lt;=Rechner!$B$6,Rechner!$E$5+179,""))</f>
        <v/>
      </c>
      <c r="B181">
        <f>IF(A181="","",LOOKUP(A181,Basiszins!$A$5:$A$18,Basiszins!$B$5:$B$18))</f>
        <v/>
      </c>
      <c r="C181">
        <f>IF(A181="","",B181+Rechner!$E$7)</f>
        <v/>
      </c>
      <c r="D181">
        <f>J180</f>
        <v/>
      </c>
      <c r="E181">
        <f>IF(A181="",0,D181*C181/100/(DATE(YEAR(A181)+1,1,1)-DATE(YEAR(A181),1,1)))</f>
        <v/>
      </c>
      <c r="F181">
        <f>IF(A181="",0,SUMIF(Rechner!$A$12:$A$21,A181,Rechner!$B$12:$B$21))</f>
        <v/>
      </c>
      <c r="G181">
        <f>H180+E181</f>
        <v/>
      </c>
      <c r="H181">
        <f>G181-MIN(F181,G181)</f>
        <v/>
      </c>
      <c r="I181">
        <f>MIN(F181-MIN(F181,G181),D181)</f>
        <v/>
      </c>
      <c r="J181">
        <f>D181-I181</f>
        <v/>
      </c>
      <c r="K181">
        <f>F181-MIN(F181,G181)-I181</f>
        <v/>
      </c>
    </row>
    <row r="182">
      <c r="A182" s="21">
        <f>IF(Rechner!$E$4&lt;&gt;"ok","",IF(Rechner!$E$5+180&lt;=Rechner!$B$6,Rechner!$E$5+180,""))</f>
        <v/>
      </c>
      <c r="B182">
        <f>IF(A182="","",LOOKUP(A182,Basiszins!$A$5:$A$18,Basiszins!$B$5:$B$18))</f>
        <v/>
      </c>
      <c r="C182">
        <f>IF(A182="","",B182+Rechner!$E$7)</f>
        <v/>
      </c>
      <c r="D182">
        <f>J181</f>
        <v/>
      </c>
      <c r="E182">
        <f>IF(A182="",0,D182*C182/100/(DATE(YEAR(A182)+1,1,1)-DATE(YEAR(A182),1,1)))</f>
        <v/>
      </c>
      <c r="F182">
        <f>IF(A182="",0,SUMIF(Rechner!$A$12:$A$21,A182,Rechner!$B$12:$B$21))</f>
        <v/>
      </c>
      <c r="G182">
        <f>H181+E182</f>
        <v/>
      </c>
      <c r="H182">
        <f>G182-MIN(F182,G182)</f>
        <v/>
      </c>
      <c r="I182">
        <f>MIN(F182-MIN(F182,G182),D182)</f>
        <v/>
      </c>
      <c r="J182">
        <f>D182-I182</f>
        <v/>
      </c>
      <c r="K182">
        <f>F182-MIN(F182,G182)-I182</f>
        <v/>
      </c>
    </row>
    <row r="183">
      <c r="A183" s="21">
        <f>IF(Rechner!$E$4&lt;&gt;"ok","",IF(Rechner!$E$5+181&lt;=Rechner!$B$6,Rechner!$E$5+181,""))</f>
        <v/>
      </c>
      <c r="B183">
        <f>IF(A183="","",LOOKUP(A183,Basiszins!$A$5:$A$18,Basiszins!$B$5:$B$18))</f>
        <v/>
      </c>
      <c r="C183">
        <f>IF(A183="","",B183+Rechner!$E$7)</f>
        <v/>
      </c>
      <c r="D183">
        <f>J182</f>
        <v/>
      </c>
      <c r="E183">
        <f>IF(A183="",0,D183*C183/100/(DATE(YEAR(A183)+1,1,1)-DATE(YEAR(A183),1,1)))</f>
        <v/>
      </c>
      <c r="F183">
        <f>IF(A183="",0,SUMIF(Rechner!$A$12:$A$21,A183,Rechner!$B$12:$B$21))</f>
        <v/>
      </c>
      <c r="G183">
        <f>H182+E183</f>
        <v/>
      </c>
      <c r="H183">
        <f>G183-MIN(F183,G183)</f>
        <v/>
      </c>
      <c r="I183">
        <f>MIN(F183-MIN(F183,G183),D183)</f>
        <v/>
      </c>
      <c r="J183">
        <f>D183-I183</f>
        <v/>
      </c>
      <c r="K183">
        <f>F183-MIN(F183,G183)-I183</f>
        <v/>
      </c>
    </row>
    <row r="184">
      <c r="A184" s="21">
        <f>IF(Rechner!$E$4&lt;&gt;"ok","",IF(Rechner!$E$5+182&lt;=Rechner!$B$6,Rechner!$E$5+182,""))</f>
        <v/>
      </c>
      <c r="B184">
        <f>IF(A184="","",LOOKUP(A184,Basiszins!$A$5:$A$18,Basiszins!$B$5:$B$18))</f>
        <v/>
      </c>
      <c r="C184">
        <f>IF(A184="","",B184+Rechner!$E$7)</f>
        <v/>
      </c>
      <c r="D184">
        <f>J183</f>
        <v/>
      </c>
      <c r="E184">
        <f>IF(A184="",0,D184*C184/100/(DATE(YEAR(A184)+1,1,1)-DATE(YEAR(A184),1,1)))</f>
        <v/>
      </c>
      <c r="F184">
        <f>IF(A184="",0,SUMIF(Rechner!$A$12:$A$21,A184,Rechner!$B$12:$B$21))</f>
        <v/>
      </c>
      <c r="G184">
        <f>H183+E184</f>
        <v/>
      </c>
      <c r="H184">
        <f>G184-MIN(F184,G184)</f>
        <v/>
      </c>
      <c r="I184">
        <f>MIN(F184-MIN(F184,G184),D184)</f>
        <v/>
      </c>
      <c r="J184">
        <f>D184-I184</f>
        <v/>
      </c>
      <c r="K184">
        <f>F184-MIN(F184,G184)-I184</f>
        <v/>
      </c>
    </row>
    <row r="185">
      <c r="A185" s="21">
        <f>IF(Rechner!$E$4&lt;&gt;"ok","",IF(Rechner!$E$5+183&lt;=Rechner!$B$6,Rechner!$E$5+183,""))</f>
        <v/>
      </c>
      <c r="B185">
        <f>IF(A185="","",LOOKUP(A185,Basiszins!$A$5:$A$18,Basiszins!$B$5:$B$18))</f>
        <v/>
      </c>
      <c r="C185">
        <f>IF(A185="","",B185+Rechner!$E$7)</f>
        <v/>
      </c>
      <c r="D185">
        <f>J184</f>
        <v/>
      </c>
      <c r="E185">
        <f>IF(A185="",0,D185*C185/100/(DATE(YEAR(A185)+1,1,1)-DATE(YEAR(A185),1,1)))</f>
        <v/>
      </c>
      <c r="F185">
        <f>IF(A185="",0,SUMIF(Rechner!$A$12:$A$21,A185,Rechner!$B$12:$B$21))</f>
        <v/>
      </c>
      <c r="G185">
        <f>H184+E185</f>
        <v/>
      </c>
      <c r="H185">
        <f>G185-MIN(F185,G185)</f>
        <v/>
      </c>
      <c r="I185">
        <f>MIN(F185-MIN(F185,G185),D185)</f>
        <v/>
      </c>
      <c r="J185">
        <f>D185-I185</f>
        <v/>
      </c>
      <c r="K185">
        <f>F185-MIN(F185,G185)-I185</f>
        <v/>
      </c>
    </row>
    <row r="186">
      <c r="A186" s="21">
        <f>IF(Rechner!$E$4&lt;&gt;"ok","",IF(Rechner!$E$5+184&lt;=Rechner!$B$6,Rechner!$E$5+184,""))</f>
        <v/>
      </c>
      <c r="B186">
        <f>IF(A186="","",LOOKUP(A186,Basiszins!$A$5:$A$18,Basiszins!$B$5:$B$18))</f>
        <v/>
      </c>
      <c r="C186">
        <f>IF(A186="","",B186+Rechner!$E$7)</f>
        <v/>
      </c>
      <c r="D186">
        <f>J185</f>
        <v/>
      </c>
      <c r="E186">
        <f>IF(A186="",0,D186*C186/100/(DATE(YEAR(A186)+1,1,1)-DATE(YEAR(A186),1,1)))</f>
        <v/>
      </c>
      <c r="F186">
        <f>IF(A186="",0,SUMIF(Rechner!$A$12:$A$21,A186,Rechner!$B$12:$B$21))</f>
        <v/>
      </c>
      <c r="G186">
        <f>H185+E186</f>
        <v/>
      </c>
      <c r="H186">
        <f>G186-MIN(F186,G186)</f>
        <v/>
      </c>
      <c r="I186">
        <f>MIN(F186-MIN(F186,G186),D186)</f>
        <v/>
      </c>
      <c r="J186">
        <f>D186-I186</f>
        <v/>
      </c>
      <c r="K186">
        <f>F186-MIN(F186,G186)-I186</f>
        <v/>
      </c>
    </row>
    <row r="187">
      <c r="A187" s="21">
        <f>IF(Rechner!$E$4&lt;&gt;"ok","",IF(Rechner!$E$5+185&lt;=Rechner!$B$6,Rechner!$E$5+185,""))</f>
        <v/>
      </c>
      <c r="B187">
        <f>IF(A187="","",LOOKUP(A187,Basiszins!$A$5:$A$18,Basiszins!$B$5:$B$18))</f>
        <v/>
      </c>
      <c r="C187">
        <f>IF(A187="","",B187+Rechner!$E$7)</f>
        <v/>
      </c>
      <c r="D187">
        <f>J186</f>
        <v/>
      </c>
      <c r="E187">
        <f>IF(A187="",0,D187*C187/100/(DATE(YEAR(A187)+1,1,1)-DATE(YEAR(A187),1,1)))</f>
        <v/>
      </c>
      <c r="F187">
        <f>IF(A187="",0,SUMIF(Rechner!$A$12:$A$21,A187,Rechner!$B$12:$B$21))</f>
        <v/>
      </c>
      <c r="G187">
        <f>H186+E187</f>
        <v/>
      </c>
      <c r="H187">
        <f>G187-MIN(F187,G187)</f>
        <v/>
      </c>
      <c r="I187">
        <f>MIN(F187-MIN(F187,G187),D187)</f>
        <v/>
      </c>
      <c r="J187">
        <f>D187-I187</f>
        <v/>
      </c>
      <c r="K187">
        <f>F187-MIN(F187,G187)-I187</f>
        <v/>
      </c>
    </row>
    <row r="188">
      <c r="A188" s="21">
        <f>IF(Rechner!$E$4&lt;&gt;"ok","",IF(Rechner!$E$5+186&lt;=Rechner!$B$6,Rechner!$E$5+186,""))</f>
        <v/>
      </c>
      <c r="B188">
        <f>IF(A188="","",LOOKUP(A188,Basiszins!$A$5:$A$18,Basiszins!$B$5:$B$18))</f>
        <v/>
      </c>
      <c r="C188">
        <f>IF(A188="","",B188+Rechner!$E$7)</f>
        <v/>
      </c>
      <c r="D188">
        <f>J187</f>
        <v/>
      </c>
      <c r="E188">
        <f>IF(A188="",0,D188*C188/100/(DATE(YEAR(A188)+1,1,1)-DATE(YEAR(A188),1,1)))</f>
        <v/>
      </c>
      <c r="F188">
        <f>IF(A188="",0,SUMIF(Rechner!$A$12:$A$21,A188,Rechner!$B$12:$B$21))</f>
        <v/>
      </c>
      <c r="G188">
        <f>H187+E188</f>
        <v/>
      </c>
      <c r="H188">
        <f>G188-MIN(F188,G188)</f>
        <v/>
      </c>
      <c r="I188">
        <f>MIN(F188-MIN(F188,G188),D188)</f>
        <v/>
      </c>
      <c r="J188">
        <f>D188-I188</f>
        <v/>
      </c>
      <c r="K188">
        <f>F188-MIN(F188,G188)-I188</f>
        <v/>
      </c>
    </row>
    <row r="189">
      <c r="A189" s="21">
        <f>IF(Rechner!$E$4&lt;&gt;"ok","",IF(Rechner!$E$5+187&lt;=Rechner!$B$6,Rechner!$E$5+187,""))</f>
        <v/>
      </c>
      <c r="B189">
        <f>IF(A189="","",LOOKUP(A189,Basiszins!$A$5:$A$18,Basiszins!$B$5:$B$18))</f>
        <v/>
      </c>
      <c r="C189">
        <f>IF(A189="","",B189+Rechner!$E$7)</f>
        <v/>
      </c>
      <c r="D189">
        <f>J188</f>
        <v/>
      </c>
      <c r="E189">
        <f>IF(A189="",0,D189*C189/100/(DATE(YEAR(A189)+1,1,1)-DATE(YEAR(A189),1,1)))</f>
        <v/>
      </c>
      <c r="F189">
        <f>IF(A189="",0,SUMIF(Rechner!$A$12:$A$21,A189,Rechner!$B$12:$B$21))</f>
        <v/>
      </c>
      <c r="G189">
        <f>H188+E189</f>
        <v/>
      </c>
      <c r="H189">
        <f>G189-MIN(F189,G189)</f>
        <v/>
      </c>
      <c r="I189">
        <f>MIN(F189-MIN(F189,G189),D189)</f>
        <v/>
      </c>
      <c r="J189">
        <f>D189-I189</f>
        <v/>
      </c>
      <c r="K189">
        <f>F189-MIN(F189,G189)-I189</f>
        <v/>
      </c>
    </row>
    <row r="190">
      <c r="A190" s="21">
        <f>IF(Rechner!$E$4&lt;&gt;"ok","",IF(Rechner!$E$5+188&lt;=Rechner!$B$6,Rechner!$E$5+188,""))</f>
        <v/>
      </c>
      <c r="B190">
        <f>IF(A190="","",LOOKUP(A190,Basiszins!$A$5:$A$18,Basiszins!$B$5:$B$18))</f>
        <v/>
      </c>
      <c r="C190">
        <f>IF(A190="","",B190+Rechner!$E$7)</f>
        <v/>
      </c>
      <c r="D190">
        <f>J189</f>
        <v/>
      </c>
      <c r="E190">
        <f>IF(A190="",0,D190*C190/100/(DATE(YEAR(A190)+1,1,1)-DATE(YEAR(A190),1,1)))</f>
        <v/>
      </c>
      <c r="F190">
        <f>IF(A190="",0,SUMIF(Rechner!$A$12:$A$21,A190,Rechner!$B$12:$B$21))</f>
        <v/>
      </c>
      <c r="G190">
        <f>H189+E190</f>
        <v/>
      </c>
      <c r="H190">
        <f>G190-MIN(F190,G190)</f>
        <v/>
      </c>
      <c r="I190">
        <f>MIN(F190-MIN(F190,G190),D190)</f>
        <v/>
      </c>
      <c r="J190">
        <f>D190-I190</f>
        <v/>
      </c>
      <c r="K190">
        <f>F190-MIN(F190,G190)-I190</f>
        <v/>
      </c>
    </row>
    <row r="191">
      <c r="A191" s="21">
        <f>IF(Rechner!$E$4&lt;&gt;"ok","",IF(Rechner!$E$5+189&lt;=Rechner!$B$6,Rechner!$E$5+189,""))</f>
        <v/>
      </c>
      <c r="B191">
        <f>IF(A191="","",LOOKUP(A191,Basiszins!$A$5:$A$18,Basiszins!$B$5:$B$18))</f>
        <v/>
      </c>
      <c r="C191">
        <f>IF(A191="","",B191+Rechner!$E$7)</f>
        <v/>
      </c>
      <c r="D191">
        <f>J190</f>
        <v/>
      </c>
      <c r="E191">
        <f>IF(A191="",0,D191*C191/100/(DATE(YEAR(A191)+1,1,1)-DATE(YEAR(A191),1,1)))</f>
        <v/>
      </c>
      <c r="F191">
        <f>IF(A191="",0,SUMIF(Rechner!$A$12:$A$21,A191,Rechner!$B$12:$B$21))</f>
        <v/>
      </c>
      <c r="G191">
        <f>H190+E191</f>
        <v/>
      </c>
      <c r="H191">
        <f>G191-MIN(F191,G191)</f>
        <v/>
      </c>
      <c r="I191">
        <f>MIN(F191-MIN(F191,G191),D191)</f>
        <v/>
      </c>
      <c r="J191">
        <f>D191-I191</f>
        <v/>
      </c>
      <c r="K191">
        <f>F191-MIN(F191,G191)-I191</f>
        <v/>
      </c>
    </row>
    <row r="192">
      <c r="A192" s="21">
        <f>IF(Rechner!$E$4&lt;&gt;"ok","",IF(Rechner!$E$5+190&lt;=Rechner!$B$6,Rechner!$E$5+190,""))</f>
        <v/>
      </c>
      <c r="B192">
        <f>IF(A192="","",LOOKUP(A192,Basiszins!$A$5:$A$18,Basiszins!$B$5:$B$18))</f>
        <v/>
      </c>
      <c r="C192">
        <f>IF(A192="","",B192+Rechner!$E$7)</f>
        <v/>
      </c>
      <c r="D192">
        <f>J191</f>
        <v/>
      </c>
      <c r="E192">
        <f>IF(A192="",0,D192*C192/100/(DATE(YEAR(A192)+1,1,1)-DATE(YEAR(A192),1,1)))</f>
        <v/>
      </c>
      <c r="F192">
        <f>IF(A192="",0,SUMIF(Rechner!$A$12:$A$21,A192,Rechner!$B$12:$B$21))</f>
        <v/>
      </c>
      <c r="G192">
        <f>H191+E192</f>
        <v/>
      </c>
      <c r="H192">
        <f>G192-MIN(F192,G192)</f>
        <v/>
      </c>
      <c r="I192">
        <f>MIN(F192-MIN(F192,G192),D192)</f>
        <v/>
      </c>
      <c r="J192">
        <f>D192-I192</f>
        <v/>
      </c>
      <c r="K192">
        <f>F192-MIN(F192,G192)-I192</f>
        <v/>
      </c>
    </row>
    <row r="193">
      <c r="A193" s="21">
        <f>IF(Rechner!$E$4&lt;&gt;"ok","",IF(Rechner!$E$5+191&lt;=Rechner!$B$6,Rechner!$E$5+191,""))</f>
        <v/>
      </c>
      <c r="B193">
        <f>IF(A193="","",LOOKUP(A193,Basiszins!$A$5:$A$18,Basiszins!$B$5:$B$18))</f>
        <v/>
      </c>
      <c r="C193">
        <f>IF(A193="","",B193+Rechner!$E$7)</f>
        <v/>
      </c>
      <c r="D193">
        <f>J192</f>
        <v/>
      </c>
      <c r="E193">
        <f>IF(A193="",0,D193*C193/100/(DATE(YEAR(A193)+1,1,1)-DATE(YEAR(A193),1,1)))</f>
        <v/>
      </c>
      <c r="F193">
        <f>IF(A193="",0,SUMIF(Rechner!$A$12:$A$21,A193,Rechner!$B$12:$B$21))</f>
        <v/>
      </c>
      <c r="G193">
        <f>H192+E193</f>
        <v/>
      </c>
      <c r="H193">
        <f>G193-MIN(F193,G193)</f>
        <v/>
      </c>
      <c r="I193">
        <f>MIN(F193-MIN(F193,G193),D193)</f>
        <v/>
      </c>
      <c r="J193">
        <f>D193-I193</f>
        <v/>
      </c>
      <c r="K193">
        <f>F193-MIN(F193,G193)-I193</f>
        <v/>
      </c>
    </row>
    <row r="194">
      <c r="A194" s="21">
        <f>IF(Rechner!$E$4&lt;&gt;"ok","",IF(Rechner!$E$5+192&lt;=Rechner!$B$6,Rechner!$E$5+192,""))</f>
        <v/>
      </c>
      <c r="B194">
        <f>IF(A194="","",LOOKUP(A194,Basiszins!$A$5:$A$18,Basiszins!$B$5:$B$18))</f>
        <v/>
      </c>
      <c r="C194">
        <f>IF(A194="","",B194+Rechner!$E$7)</f>
        <v/>
      </c>
      <c r="D194">
        <f>J193</f>
        <v/>
      </c>
      <c r="E194">
        <f>IF(A194="",0,D194*C194/100/(DATE(YEAR(A194)+1,1,1)-DATE(YEAR(A194),1,1)))</f>
        <v/>
      </c>
      <c r="F194">
        <f>IF(A194="",0,SUMIF(Rechner!$A$12:$A$21,A194,Rechner!$B$12:$B$21))</f>
        <v/>
      </c>
      <c r="G194">
        <f>H193+E194</f>
        <v/>
      </c>
      <c r="H194">
        <f>G194-MIN(F194,G194)</f>
        <v/>
      </c>
      <c r="I194">
        <f>MIN(F194-MIN(F194,G194),D194)</f>
        <v/>
      </c>
      <c r="J194">
        <f>D194-I194</f>
        <v/>
      </c>
      <c r="K194">
        <f>F194-MIN(F194,G194)-I194</f>
        <v/>
      </c>
    </row>
    <row r="195">
      <c r="A195" s="21">
        <f>IF(Rechner!$E$4&lt;&gt;"ok","",IF(Rechner!$E$5+193&lt;=Rechner!$B$6,Rechner!$E$5+193,""))</f>
        <v/>
      </c>
      <c r="B195">
        <f>IF(A195="","",LOOKUP(A195,Basiszins!$A$5:$A$18,Basiszins!$B$5:$B$18))</f>
        <v/>
      </c>
      <c r="C195">
        <f>IF(A195="","",B195+Rechner!$E$7)</f>
        <v/>
      </c>
      <c r="D195">
        <f>J194</f>
        <v/>
      </c>
      <c r="E195">
        <f>IF(A195="",0,D195*C195/100/(DATE(YEAR(A195)+1,1,1)-DATE(YEAR(A195),1,1)))</f>
        <v/>
      </c>
      <c r="F195">
        <f>IF(A195="",0,SUMIF(Rechner!$A$12:$A$21,A195,Rechner!$B$12:$B$21))</f>
        <v/>
      </c>
      <c r="G195">
        <f>H194+E195</f>
        <v/>
      </c>
      <c r="H195">
        <f>G195-MIN(F195,G195)</f>
        <v/>
      </c>
      <c r="I195">
        <f>MIN(F195-MIN(F195,G195),D195)</f>
        <v/>
      </c>
      <c r="J195">
        <f>D195-I195</f>
        <v/>
      </c>
      <c r="K195">
        <f>F195-MIN(F195,G195)-I195</f>
        <v/>
      </c>
    </row>
    <row r="196">
      <c r="A196" s="21">
        <f>IF(Rechner!$E$4&lt;&gt;"ok","",IF(Rechner!$E$5+194&lt;=Rechner!$B$6,Rechner!$E$5+194,""))</f>
        <v/>
      </c>
      <c r="B196">
        <f>IF(A196="","",LOOKUP(A196,Basiszins!$A$5:$A$18,Basiszins!$B$5:$B$18))</f>
        <v/>
      </c>
      <c r="C196">
        <f>IF(A196="","",B196+Rechner!$E$7)</f>
        <v/>
      </c>
      <c r="D196">
        <f>J195</f>
        <v/>
      </c>
      <c r="E196">
        <f>IF(A196="",0,D196*C196/100/(DATE(YEAR(A196)+1,1,1)-DATE(YEAR(A196),1,1)))</f>
        <v/>
      </c>
      <c r="F196">
        <f>IF(A196="",0,SUMIF(Rechner!$A$12:$A$21,A196,Rechner!$B$12:$B$21))</f>
        <v/>
      </c>
      <c r="G196">
        <f>H195+E196</f>
        <v/>
      </c>
      <c r="H196">
        <f>G196-MIN(F196,G196)</f>
        <v/>
      </c>
      <c r="I196">
        <f>MIN(F196-MIN(F196,G196),D196)</f>
        <v/>
      </c>
      <c r="J196">
        <f>D196-I196</f>
        <v/>
      </c>
      <c r="K196">
        <f>F196-MIN(F196,G196)-I196</f>
        <v/>
      </c>
    </row>
    <row r="197">
      <c r="A197" s="21">
        <f>IF(Rechner!$E$4&lt;&gt;"ok","",IF(Rechner!$E$5+195&lt;=Rechner!$B$6,Rechner!$E$5+195,""))</f>
        <v/>
      </c>
      <c r="B197">
        <f>IF(A197="","",LOOKUP(A197,Basiszins!$A$5:$A$18,Basiszins!$B$5:$B$18))</f>
        <v/>
      </c>
      <c r="C197">
        <f>IF(A197="","",B197+Rechner!$E$7)</f>
        <v/>
      </c>
      <c r="D197">
        <f>J196</f>
        <v/>
      </c>
      <c r="E197">
        <f>IF(A197="",0,D197*C197/100/(DATE(YEAR(A197)+1,1,1)-DATE(YEAR(A197),1,1)))</f>
        <v/>
      </c>
      <c r="F197">
        <f>IF(A197="",0,SUMIF(Rechner!$A$12:$A$21,A197,Rechner!$B$12:$B$21))</f>
        <v/>
      </c>
      <c r="G197">
        <f>H196+E197</f>
        <v/>
      </c>
      <c r="H197">
        <f>G197-MIN(F197,G197)</f>
        <v/>
      </c>
      <c r="I197">
        <f>MIN(F197-MIN(F197,G197),D197)</f>
        <v/>
      </c>
      <c r="J197">
        <f>D197-I197</f>
        <v/>
      </c>
      <c r="K197">
        <f>F197-MIN(F197,G197)-I197</f>
        <v/>
      </c>
    </row>
    <row r="198">
      <c r="A198" s="21">
        <f>IF(Rechner!$E$4&lt;&gt;"ok","",IF(Rechner!$E$5+196&lt;=Rechner!$B$6,Rechner!$E$5+196,""))</f>
        <v/>
      </c>
      <c r="B198">
        <f>IF(A198="","",LOOKUP(A198,Basiszins!$A$5:$A$18,Basiszins!$B$5:$B$18))</f>
        <v/>
      </c>
      <c r="C198">
        <f>IF(A198="","",B198+Rechner!$E$7)</f>
        <v/>
      </c>
      <c r="D198">
        <f>J197</f>
        <v/>
      </c>
      <c r="E198">
        <f>IF(A198="",0,D198*C198/100/(DATE(YEAR(A198)+1,1,1)-DATE(YEAR(A198),1,1)))</f>
        <v/>
      </c>
      <c r="F198">
        <f>IF(A198="",0,SUMIF(Rechner!$A$12:$A$21,A198,Rechner!$B$12:$B$21))</f>
        <v/>
      </c>
      <c r="G198">
        <f>H197+E198</f>
        <v/>
      </c>
      <c r="H198">
        <f>G198-MIN(F198,G198)</f>
        <v/>
      </c>
      <c r="I198">
        <f>MIN(F198-MIN(F198,G198),D198)</f>
        <v/>
      </c>
      <c r="J198">
        <f>D198-I198</f>
        <v/>
      </c>
      <c r="K198">
        <f>F198-MIN(F198,G198)-I198</f>
        <v/>
      </c>
    </row>
    <row r="199">
      <c r="A199" s="21">
        <f>IF(Rechner!$E$4&lt;&gt;"ok","",IF(Rechner!$E$5+197&lt;=Rechner!$B$6,Rechner!$E$5+197,""))</f>
        <v/>
      </c>
      <c r="B199">
        <f>IF(A199="","",LOOKUP(A199,Basiszins!$A$5:$A$18,Basiszins!$B$5:$B$18))</f>
        <v/>
      </c>
      <c r="C199">
        <f>IF(A199="","",B199+Rechner!$E$7)</f>
        <v/>
      </c>
      <c r="D199">
        <f>J198</f>
        <v/>
      </c>
      <c r="E199">
        <f>IF(A199="",0,D199*C199/100/(DATE(YEAR(A199)+1,1,1)-DATE(YEAR(A199),1,1)))</f>
        <v/>
      </c>
      <c r="F199">
        <f>IF(A199="",0,SUMIF(Rechner!$A$12:$A$21,A199,Rechner!$B$12:$B$21))</f>
        <v/>
      </c>
      <c r="G199">
        <f>H198+E199</f>
        <v/>
      </c>
      <c r="H199">
        <f>G199-MIN(F199,G199)</f>
        <v/>
      </c>
      <c r="I199">
        <f>MIN(F199-MIN(F199,G199),D199)</f>
        <v/>
      </c>
      <c r="J199">
        <f>D199-I199</f>
        <v/>
      </c>
      <c r="K199">
        <f>F199-MIN(F199,G199)-I199</f>
        <v/>
      </c>
    </row>
    <row r="200">
      <c r="A200" s="21">
        <f>IF(Rechner!$E$4&lt;&gt;"ok","",IF(Rechner!$E$5+198&lt;=Rechner!$B$6,Rechner!$E$5+198,""))</f>
        <v/>
      </c>
      <c r="B200">
        <f>IF(A200="","",LOOKUP(A200,Basiszins!$A$5:$A$18,Basiszins!$B$5:$B$18))</f>
        <v/>
      </c>
      <c r="C200">
        <f>IF(A200="","",B200+Rechner!$E$7)</f>
        <v/>
      </c>
      <c r="D200">
        <f>J199</f>
        <v/>
      </c>
      <c r="E200">
        <f>IF(A200="",0,D200*C200/100/(DATE(YEAR(A200)+1,1,1)-DATE(YEAR(A200),1,1)))</f>
        <v/>
      </c>
      <c r="F200">
        <f>IF(A200="",0,SUMIF(Rechner!$A$12:$A$21,A200,Rechner!$B$12:$B$21))</f>
        <v/>
      </c>
      <c r="G200">
        <f>H199+E200</f>
        <v/>
      </c>
      <c r="H200">
        <f>G200-MIN(F200,G200)</f>
        <v/>
      </c>
      <c r="I200">
        <f>MIN(F200-MIN(F200,G200),D200)</f>
        <v/>
      </c>
      <c r="J200">
        <f>D200-I200</f>
        <v/>
      </c>
      <c r="K200">
        <f>F200-MIN(F200,G200)-I200</f>
        <v/>
      </c>
    </row>
    <row r="201">
      <c r="A201" s="21">
        <f>IF(Rechner!$E$4&lt;&gt;"ok","",IF(Rechner!$E$5+199&lt;=Rechner!$B$6,Rechner!$E$5+199,""))</f>
        <v/>
      </c>
      <c r="B201">
        <f>IF(A201="","",LOOKUP(A201,Basiszins!$A$5:$A$18,Basiszins!$B$5:$B$18))</f>
        <v/>
      </c>
      <c r="C201">
        <f>IF(A201="","",B201+Rechner!$E$7)</f>
        <v/>
      </c>
      <c r="D201">
        <f>J200</f>
        <v/>
      </c>
      <c r="E201">
        <f>IF(A201="",0,D201*C201/100/(DATE(YEAR(A201)+1,1,1)-DATE(YEAR(A201),1,1)))</f>
        <v/>
      </c>
      <c r="F201">
        <f>IF(A201="",0,SUMIF(Rechner!$A$12:$A$21,A201,Rechner!$B$12:$B$21))</f>
        <v/>
      </c>
      <c r="G201">
        <f>H200+E201</f>
        <v/>
      </c>
      <c r="H201">
        <f>G201-MIN(F201,G201)</f>
        <v/>
      </c>
      <c r="I201">
        <f>MIN(F201-MIN(F201,G201),D201)</f>
        <v/>
      </c>
      <c r="J201">
        <f>D201-I201</f>
        <v/>
      </c>
      <c r="K201">
        <f>F201-MIN(F201,G201)-I201</f>
        <v/>
      </c>
    </row>
    <row r="202">
      <c r="A202" s="21">
        <f>IF(Rechner!$E$4&lt;&gt;"ok","",IF(Rechner!$E$5+200&lt;=Rechner!$B$6,Rechner!$E$5+200,""))</f>
        <v/>
      </c>
      <c r="B202">
        <f>IF(A202="","",LOOKUP(A202,Basiszins!$A$5:$A$18,Basiszins!$B$5:$B$18))</f>
        <v/>
      </c>
      <c r="C202">
        <f>IF(A202="","",B202+Rechner!$E$7)</f>
        <v/>
      </c>
      <c r="D202">
        <f>J201</f>
        <v/>
      </c>
      <c r="E202">
        <f>IF(A202="",0,D202*C202/100/(DATE(YEAR(A202)+1,1,1)-DATE(YEAR(A202),1,1)))</f>
        <v/>
      </c>
      <c r="F202">
        <f>IF(A202="",0,SUMIF(Rechner!$A$12:$A$21,A202,Rechner!$B$12:$B$21))</f>
        <v/>
      </c>
      <c r="G202">
        <f>H201+E202</f>
        <v/>
      </c>
      <c r="H202">
        <f>G202-MIN(F202,G202)</f>
        <v/>
      </c>
      <c r="I202">
        <f>MIN(F202-MIN(F202,G202),D202)</f>
        <v/>
      </c>
      <c r="J202">
        <f>D202-I202</f>
        <v/>
      </c>
      <c r="K202">
        <f>F202-MIN(F202,G202)-I202</f>
        <v/>
      </c>
    </row>
    <row r="203">
      <c r="A203" s="21">
        <f>IF(Rechner!$E$4&lt;&gt;"ok","",IF(Rechner!$E$5+201&lt;=Rechner!$B$6,Rechner!$E$5+201,""))</f>
        <v/>
      </c>
      <c r="B203">
        <f>IF(A203="","",LOOKUP(A203,Basiszins!$A$5:$A$18,Basiszins!$B$5:$B$18))</f>
        <v/>
      </c>
      <c r="C203">
        <f>IF(A203="","",B203+Rechner!$E$7)</f>
        <v/>
      </c>
      <c r="D203">
        <f>J202</f>
        <v/>
      </c>
      <c r="E203">
        <f>IF(A203="",0,D203*C203/100/(DATE(YEAR(A203)+1,1,1)-DATE(YEAR(A203),1,1)))</f>
        <v/>
      </c>
      <c r="F203">
        <f>IF(A203="",0,SUMIF(Rechner!$A$12:$A$21,A203,Rechner!$B$12:$B$21))</f>
        <v/>
      </c>
      <c r="G203">
        <f>H202+E203</f>
        <v/>
      </c>
      <c r="H203">
        <f>G203-MIN(F203,G203)</f>
        <v/>
      </c>
      <c r="I203">
        <f>MIN(F203-MIN(F203,G203),D203)</f>
        <v/>
      </c>
      <c r="J203">
        <f>D203-I203</f>
        <v/>
      </c>
      <c r="K203">
        <f>F203-MIN(F203,G203)-I203</f>
        <v/>
      </c>
    </row>
    <row r="204">
      <c r="A204" s="21">
        <f>IF(Rechner!$E$4&lt;&gt;"ok","",IF(Rechner!$E$5+202&lt;=Rechner!$B$6,Rechner!$E$5+202,""))</f>
        <v/>
      </c>
      <c r="B204">
        <f>IF(A204="","",LOOKUP(A204,Basiszins!$A$5:$A$18,Basiszins!$B$5:$B$18))</f>
        <v/>
      </c>
      <c r="C204">
        <f>IF(A204="","",B204+Rechner!$E$7)</f>
        <v/>
      </c>
      <c r="D204">
        <f>J203</f>
        <v/>
      </c>
      <c r="E204">
        <f>IF(A204="",0,D204*C204/100/(DATE(YEAR(A204)+1,1,1)-DATE(YEAR(A204),1,1)))</f>
        <v/>
      </c>
      <c r="F204">
        <f>IF(A204="",0,SUMIF(Rechner!$A$12:$A$21,A204,Rechner!$B$12:$B$21))</f>
        <v/>
      </c>
      <c r="G204">
        <f>H203+E204</f>
        <v/>
      </c>
      <c r="H204">
        <f>G204-MIN(F204,G204)</f>
        <v/>
      </c>
      <c r="I204">
        <f>MIN(F204-MIN(F204,G204),D204)</f>
        <v/>
      </c>
      <c r="J204">
        <f>D204-I204</f>
        <v/>
      </c>
      <c r="K204">
        <f>F204-MIN(F204,G204)-I204</f>
        <v/>
      </c>
    </row>
    <row r="205">
      <c r="A205" s="21">
        <f>IF(Rechner!$E$4&lt;&gt;"ok","",IF(Rechner!$E$5+203&lt;=Rechner!$B$6,Rechner!$E$5+203,""))</f>
        <v/>
      </c>
      <c r="B205">
        <f>IF(A205="","",LOOKUP(A205,Basiszins!$A$5:$A$18,Basiszins!$B$5:$B$18))</f>
        <v/>
      </c>
      <c r="C205">
        <f>IF(A205="","",B205+Rechner!$E$7)</f>
        <v/>
      </c>
      <c r="D205">
        <f>J204</f>
        <v/>
      </c>
      <c r="E205">
        <f>IF(A205="",0,D205*C205/100/(DATE(YEAR(A205)+1,1,1)-DATE(YEAR(A205),1,1)))</f>
        <v/>
      </c>
      <c r="F205">
        <f>IF(A205="",0,SUMIF(Rechner!$A$12:$A$21,A205,Rechner!$B$12:$B$21))</f>
        <v/>
      </c>
      <c r="G205">
        <f>H204+E205</f>
        <v/>
      </c>
      <c r="H205">
        <f>G205-MIN(F205,G205)</f>
        <v/>
      </c>
      <c r="I205">
        <f>MIN(F205-MIN(F205,G205),D205)</f>
        <v/>
      </c>
      <c r="J205">
        <f>D205-I205</f>
        <v/>
      </c>
      <c r="K205">
        <f>F205-MIN(F205,G205)-I205</f>
        <v/>
      </c>
    </row>
    <row r="206">
      <c r="A206" s="21">
        <f>IF(Rechner!$E$4&lt;&gt;"ok","",IF(Rechner!$E$5+204&lt;=Rechner!$B$6,Rechner!$E$5+204,""))</f>
        <v/>
      </c>
      <c r="B206">
        <f>IF(A206="","",LOOKUP(A206,Basiszins!$A$5:$A$18,Basiszins!$B$5:$B$18))</f>
        <v/>
      </c>
      <c r="C206">
        <f>IF(A206="","",B206+Rechner!$E$7)</f>
        <v/>
      </c>
      <c r="D206">
        <f>J205</f>
        <v/>
      </c>
      <c r="E206">
        <f>IF(A206="",0,D206*C206/100/(DATE(YEAR(A206)+1,1,1)-DATE(YEAR(A206),1,1)))</f>
        <v/>
      </c>
      <c r="F206">
        <f>IF(A206="",0,SUMIF(Rechner!$A$12:$A$21,A206,Rechner!$B$12:$B$21))</f>
        <v/>
      </c>
      <c r="G206">
        <f>H205+E206</f>
        <v/>
      </c>
      <c r="H206">
        <f>G206-MIN(F206,G206)</f>
        <v/>
      </c>
      <c r="I206">
        <f>MIN(F206-MIN(F206,G206),D206)</f>
        <v/>
      </c>
      <c r="J206">
        <f>D206-I206</f>
        <v/>
      </c>
      <c r="K206">
        <f>F206-MIN(F206,G206)-I206</f>
        <v/>
      </c>
    </row>
    <row r="207">
      <c r="A207" s="21">
        <f>IF(Rechner!$E$4&lt;&gt;"ok","",IF(Rechner!$E$5+205&lt;=Rechner!$B$6,Rechner!$E$5+205,""))</f>
        <v/>
      </c>
      <c r="B207">
        <f>IF(A207="","",LOOKUP(A207,Basiszins!$A$5:$A$18,Basiszins!$B$5:$B$18))</f>
        <v/>
      </c>
      <c r="C207">
        <f>IF(A207="","",B207+Rechner!$E$7)</f>
        <v/>
      </c>
      <c r="D207">
        <f>J206</f>
        <v/>
      </c>
      <c r="E207">
        <f>IF(A207="",0,D207*C207/100/(DATE(YEAR(A207)+1,1,1)-DATE(YEAR(A207),1,1)))</f>
        <v/>
      </c>
      <c r="F207">
        <f>IF(A207="",0,SUMIF(Rechner!$A$12:$A$21,A207,Rechner!$B$12:$B$21))</f>
        <v/>
      </c>
      <c r="G207">
        <f>H206+E207</f>
        <v/>
      </c>
      <c r="H207">
        <f>G207-MIN(F207,G207)</f>
        <v/>
      </c>
      <c r="I207">
        <f>MIN(F207-MIN(F207,G207),D207)</f>
        <v/>
      </c>
      <c r="J207">
        <f>D207-I207</f>
        <v/>
      </c>
      <c r="K207">
        <f>F207-MIN(F207,G207)-I207</f>
        <v/>
      </c>
    </row>
    <row r="208">
      <c r="A208" s="21">
        <f>IF(Rechner!$E$4&lt;&gt;"ok","",IF(Rechner!$E$5+206&lt;=Rechner!$B$6,Rechner!$E$5+206,""))</f>
        <v/>
      </c>
      <c r="B208">
        <f>IF(A208="","",LOOKUP(A208,Basiszins!$A$5:$A$18,Basiszins!$B$5:$B$18))</f>
        <v/>
      </c>
      <c r="C208">
        <f>IF(A208="","",B208+Rechner!$E$7)</f>
        <v/>
      </c>
      <c r="D208">
        <f>J207</f>
        <v/>
      </c>
      <c r="E208">
        <f>IF(A208="",0,D208*C208/100/(DATE(YEAR(A208)+1,1,1)-DATE(YEAR(A208),1,1)))</f>
        <v/>
      </c>
      <c r="F208">
        <f>IF(A208="",0,SUMIF(Rechner!$A$12:$A$21,A208,Rechner!$B$12:$B$21))</f>
        <v/>
      </c>
      <c r="G208">
        <f>H207+E208</f>
        <v/>
      </c>
      <c r="H208">
        <f>G208-MIN(F208,G208)</f>
        <v/>
      </c>
      <c r="I208">
        <f>MIN(F208-MIN(F208,G208),D208)</f>
        <v/>
      </c>
      <c r="J208">
        <f>D208-I208</f>
        <v/>
      </c>
      <c r="K208">
        <f>F208-MIN(F208,G208)-I208</f>
        <v/>
      </c>
    </row>
    <row r="209">
      <c r="A209" s="21">
        <f>IF(Rechner!$E$4&lt;&gt;"ok","",IF(Rechner!$E$5+207&lt;=Rechner!$B$6,Rechner!$E$5+207,""))</f>
        <v/>
      </c>
      <c r="B209">
        <f>IF(A209="","",LOOKUP(A209,Basiszins!$A$5:$A$18,Basiszins!$B$5:$B$18))</f>
        <v/>
      </c>
      <c r="C209">
        <f>IF(A209="","",B209+Rechner!$E$7)</f>
        <v/>
      </c>
      <c r="D209">
        <f>J208</f>
        <v/>
      </c>
      <c r="E209">
        <f>IF(A209="",0,D209*C209/100/(DATE(YEAR(A209)+1,1,1)-DATE(YEAR(A209),1,1)))</f>
        <v/>
      </c>
      <c r="F209">
        <f>IF(A209="",0,SUMIF(Rechner!$A$12:$A$21,A209,Rechner!$B$12:$B$21))</f>
        <v/>
      </c>
      <c r="G209">
        <f>H208+E209</f>
        <v/>
      </c>
      <c r="H209">
        <f>G209-MIN(F209,G209)</f>
        <v/>
      </c>
      <c r="I209">
        <f>MIN(F209-MIN(F209,G209),D209)</f>
        <v/>
      </c>
      <c r="J209">
        <f>D209-I209</f>
        <v/>
      </c>
      <c r="K209">
        <f>F209-MIN(F209,G209)-I209</f>
        <v/>
      </c>
    </row>
    <row r="210">
      <c r="A210" s="21">
        <f>IF(Rechner!$E$4&lt;&gt;"ok","",IF(Rechner!$E$5+208&lt;=Rechner!$B$6,Rechner!$E$5+208,""))</f>
        <v/>
      </c>
      <c r="B210">
        <f>IF(A210="","",LOOKUP(A210,Basiszins!$A$5:$A$18,Basiszins!$B$5:$B$18))</f>
        <v/>
      </c>
      <c r="C210">
        <f>IF(A210="","",B210+Rechner!$E$7)</f>
        <v/>
      </c>
      <c r="D210">
        <f>J209</f>
        <v/>
      </c>
      <c r="E210">
        <f>IF(A210="",0,D210*C210/100/(DATE(YEAR(A210)+1,1,1)-DATE(YEAR(A210),1,1)))</f>
        <v/>
      </c>
      <c r="F210">
        <f>IF(A210="",0,SUMIF(Rechner!$A$12:$A$21,A210,Rechner!$B$12:$B$21))</f>
        <v/>
      </c>
      <c r="G210">
        <f>H209+E210</f>
        <v/>
      </c>
      <c r="H210">
        <f>G210-MIN(F210,G210)</f>
        <v/>
      </c>
      <c r="I210">
        <f>MIN(F210-MIN(F210,G210),D210)</f>
        <v/>
      </c>
      <c r="J210">
        <f>D210-I210</f>
        <v/>
      </c>
      <c r="K210">
        <f>F210-MIN(F210,G210)-I210</f>
        <v/>
      </c>
    </row>
    <row r="211">
      <c r="A211" s="21">
        <f>IF(Rechner!$E$4&lt;&gt;"ok","",IF(Rechner!$E$5+209&lt;=Rechner!$B$6,Rechner!$E$5+209,""))</f>
        <v/>
      </c>
      <c r="B211">
        <f>IF(A211="","",LOOKUP(A211,Basiszins!$A$5:$A$18,Basiszins!$B$5:$B$18))</f>
        <v/>
      </c>
      <c r="C211">
        <f>IF(A211="","",B211+Rechner!$E$7)</f>
        <v/>
      </c>
      <c r="D211">
        <f>J210</f>
        <v/>
      </c>
      <c r="E211">
        <f>IF(A211="",0,D211*C211/100/(DATE(YEAR(A211)+1,1,1)-DATE(YEAR(A211),1,1)))</f>
        <v/>
      </c>
      <c r="F211">
        <f>IF(A211="",0,SUMIF(Rechner!$A$12:$A$21,A211,Rechner!$B$12:$B$21))</f>
        <v/>
      </c>
      <c r="G211">
        <f>H210+E211</f>
        <v/>
      </c>
      <c r="H211">
        <f>G211-MIN(F211,G211)</f>
        <v/>
      </c>
      <c r="I211">
        <f>MIN(F211-MIN(F211,G211),D211)</f>
        <v/>
      </c>
      <c r="J211">
        <f>D211-I211</f>
        <v/>
      </c>
      <c r="K211">
        <f>F211-MIN(F211,G211)-I211</f>
        <v/>
      </c>
    </row>
    <row r="212">
      <c r="A212" s="21">
        <f>IF(Rechner!$E$4&lt;&gt;"ok","",IF(Rechner!$E$5+210&lt;=Rechner!$B$6,Rechner!$E$5+210,""))</f>
        <v/>
      </c>
      <c r="B212">
        <f>IF(A212="","",LOOKUP(A212,Basiszins!$A$5:$A$18,Basiszins!$B$5:$B$18))</f>
        <v/>
      </c>
      <c r="C212">
        <f>IF(A212="","",B212+Rechner!$E$7)</f>
        <v/>
      </c>
      <c r="D212">
        <f>J211</f>
        <v/>
      </c>
      <c r="E212">
        <f>IF(A212="",0,D212*C212/100/(DATE(YEAR(A212)+1,1,1)-DATE(YEAR(A212),1,1)))</f>
        <v/>
      </c>
      <c r="F212">
        <f>IF(A212="",0,SUMIF(Rechner!$A$12:$A$21,A212,Rechner!$B$12:$B$21))</f>
        <v/>
      </c>
      <c r="G212">
        <f>H211+E212</f>
        <v/>
      </c>
      <c r="H212">
        <f>G212-MIN(F212,G212)</f>
        <v/>
      </c>
      <c r="I212">
        <f>MIN(F212-MIN(F212,G212),D212)</f>
        <v/>
      </c>
      <c r="J212">
        <f>D212-I212</f>
        <v/>
      </c>
      <c r="K212">
        <f>F212-MIN(F212,G212)-I212</f>
        <v/>
      </c>
    </row>
    <row r="213">
      <c r="A213" s="21">
        <f>IF(Rechner!$E$4&lt;&gt;"ok","",IF(Rechner!$E$5+211&lt;=Rechner!$B$6,Rechner!$E$5+211,""))</f>
        <v/>
      </c>
      <c r="B213">
        <f>IF(A213="","",LOOKUP(A213,Basiszins!$A$5:$A$18,Basiszins!$B$5:$B$18))</f>
        <v/>
      </c>
      <c r="C213">
        <f>IF(A213="","",B213+Rechner!$E$7)</f>
        <v/>
      </c>
      <c r="D213">
        <f>J212</f>
        <v/>
      </c>
      <c r="E213">
        <f>IF(A213="",0,D213*C213/100/(DATE(YEAR(A213)+1,1,1)-DATE(YEAR(A213),1,1)))</f>
        <v/>
      </c>
      <c r="F213">
        <f>IF(A213="",0,SUMIF(Rechner!$A$12:$A$21,A213,Rechner!$B$12:$B$21))</f>
        <v/>
      </c>
      <c r="G213">
        <f>H212+E213</f>
        <v/>
      </c>
      <c r="H213">
        <f>G213-MIN(F213,G213)</f>
        <v/>
      </c>
      <c r="I213">
        <f>MIN(F213-MIN(F213,G213),D213)</f>
        <v/>
      </c>
      <c r="J213">
        <f>D213-I213</f>
        <v/>
      </c>
      <c r="K213">
        <f>F213-MIN(F213,G213)-I213</f>
        <v/>
      </c>
    </row>
    <row r="214">
      <c r="A214" s="21">
        <f>IF(Rechner!$E$4&lt;&gt;"ok","",IF(Rechner!$E$5+212&lt;=Rechner!$B$6,Rechner!$E$5+212,""))</f>
        <v/>
      </c>
      <c r="B214">
        <f>IF(A214="","",LOOKUP(A214,Basiszins!$A$5:$A$18,Basiszins!$B$5:$B$18))</f>
        <v/>
      </c>
      <c r="C214">
        <f>IF(A214="","",B214+Rechner!$E$7)</f>
        <v/>
      </c>
      <c r="D214">
        <f>J213</f>
        <v/>
      </c>
      <c r="E214">
        <f>IF(A214="",0,D214*C214/100/(DATE(YEAR(A214)+1,1,1)-DATE(YEAR(A214),1,1)))</f>
        <v/>
      </c>
      <c r="F214">
        <f>IF(A214="",0,SUMIF(Rechner!$A$12:$A$21,A214,Rechner!$B$12:$B$21))</f>
        <v/>
      </c>
      <c r="G214">
        <f>H213+E214</f>
        <v/>
      </c>
      <c r="H214">
        <f>G214-MIN(F214,G214)</f>
        <v/>
      </c>
      <c r="I214">
        <f>MIN(F214-MIN(F214,G214),D214)</f>
        <v/>
      </c>
      <c r="J214">
        <f>D214-I214</f>
        <v/>
      </c>
      <c r="K214">
        <f>F214-MIN(F214,G214)-I214</f>
        <v/>
      </c>
    </row>
    <row r="215">
      <c r="A215" s="21">
        <f>IF(Rechner!$E$4&lt;&gt;"ok","",IF(Rechner!$E$5+213&lt;=Rechner!$B$6,Rechner!$E$5+213,""))</f>
        <v/>
      </c>
      <c r="B215">
        <f>IF(A215="","",LOOKUP(A215,Basiszins!$A$5:$A$18,Basiszins!$B$5:$B$18))</f>
        <v/>
      </c>
      <c r="C215">
        <f>IF(A215="","",B215+Rechner!$E$7)</f>
        <v/>
      </c>
      <c r="D215">
        <f>J214</f>
        <v/>
      </c>
      <c r="E215">
        <f>IF(A215="",0,D215*C215/100/(DATE(YEAR(A215)+1,1,1)-DATE(YEAR(A215),1,1)))</f>
        <v/>
      </c>
      <c r="F215">
        <f>IF(A215="",0,SUMIF(Rechner!$A$12:$A$21,A215,Rechner!$B$12:$B$21))</f>
        <v/>
      </c>
      <c r="G215">
        <f>H214+E215</f>
        <v/>
      </c>
      <c r="H215">
        <f>G215-MIN(F215,G215)</f>
        <v/>
      </c>
      <c r="I215">
        <f>MIN(F215-MIN(F215,G215),D215)</f>
        <v/>
      </c>
      <c r="J215">
        <f>D215-I215</f>
        <v/>
      </c>
      <c r="K215">
        <f>F215-MIN(F215,G215)-I215</f>
        <v/>
      </c>
    </row>
    <row r="216">
      <c r="A216" s="21">
        <f>IF(Rechner!$E$4&lt;&gt;"ok","",IF(Rechner!$E$5+214&lt;=Rechner!$B$6,Rechner!$E$5+214,""))</f>
        <v/>
      </c>
      <c r="B216">
        <f>IF(A216="","",LOOKUP(A216,Basiszins!$A$5:$A$18,Basiszins!$B$5:$B$18))</f>
        <v/>
      </c>
      <c r="C216">
        <f>IF(A216="","",B216+Rechner!$E$7)</f>
        <v/>
      </c>
      <c r="D216">
        <f>J215</f>
        <v/>
      </c>
      <c r="E216">
        <f>IF(A216="",0,D216*C216/100/(DATE(YEAR(A216)+1,1,1)-DATE(YEAR(A216),1,1)))</f>
        <v/>
      </c>
      <c r="F216">
        <f>IF(A216="",0,SUMIF(Rechner!$A$12:$A$21,A216,Rechner!$B$12:$B$21))</f>
        <v/>
      </c>
      <c r="G216">
        <f>H215+E216</f>
        <v/>
      </c>
      <c r="H216">
        <f>G216-MIN(F216,G216)</f>
        <v/>
      </c>
      <c r="I216">
        <f>MIN(F216-MIN(F216,G216),D216)</f>
        <v/>
      </c>
      <c r="J216">
        <f>D216-I216</f>
        <v/>
      </c>
      <c r="K216">
        <f>F216-MIN(F216,G216)-I216</f>
        <v/>
      </c>
    </row>
    <row r="217">
      <c r="A217" s="21">
        <f>IF(Rechner!$E$4&lt;&gt;"ok","",IF(Rechner!$E$5+215&lt;=Rechner!$B$6,Rechner!$E$5+215,""))</f>
        <v/>
      </c>
      <c r="B217">
        <f>IF(A217="","",LOOKUP(A217,Basiszins!$A$5:$A$18,Basiszins!$B$5:$B$18))</f>
        <v/>
      </c>
      <c r="C217">
        <f>IF(A217="","",B217+Rechner!$E$7)</f>
        <v/>
      </c>
      <c r="D217">
        <f>J216</f>
        <v/>
      </c>
      <c r="E217">
        <f>IF(A217="",0,D217*C217/100/(DATE(YEAR(A217)+1,1,1)-DATE(YEAR(A217),1,1)))</f>
        <v/>
      </c>
      <c r="F217">
        <f>IF(A217="",0,SUMIF(Rechner!$A$12:$A$21,A217,Rechner!$B$12:$B$21))</f>
        <v/>
      </c>
      <c r="G217">
        <f>H216+E217</f>
        <v/>
      </c>
      <c r="H217">
        <f>G217-MIN(F217,G217)</f>
        <v/>
      </c>
      <c r="I217">
        <f>MIN(F217-MIN(F217,G217),D217)</f>
        <v/>
      </c>
      <c r="J217">
        <f>D217-I217</f>
        <v/>
      </c>
      <c r="K217">
        <f>F217-MIN(F217,G217)-I217</f>
        <v/>
      </c>
    </row>
    <row r="218">
      <c r="A218" s="21">
        <f>IF(Rechner!$E$4&lt;&gt;"ok","",IF(Rechner!$E$5+216&lt;=Rechner!$B$6,Rechner!$E$5+216,""))</f>
        <v/>
      </c>
      <c r="B218">
        <f>IF(A218="","",LOOKUP(A218,Basiszins!$A$5:$A$18,Basiszins!$B$5:$B$18))</f>
        <v/>
      </c>
      <c r="C218">
        <f>IF(A218="","",B218+Rechner!$E$7)</f>
        <v/>
      </c>
      <c r="D218">
        <f>J217</f>
        <v/>
      </c>
      <c r="E218">
        <f>IF(A218="",0,D218*C218/100/(DATE(YEAR(A218)+1,1,1)-DATE(YEAR(A218),1,1)))</f>
        <v/>
      </c>
      <c r="F218">
        <f>IF(A218="",0,SUMIF(Rechner!$A$12:$A$21,A218,Rechner!$B$12:$B$21))</f>
        <v/>
      </c>
      <c r="G218">
        <f>H217+E218</f>
        <v/>
      </c>
      <c r="H218">
        <f>G218-MIN(F218,G218)</f>
        <v/>
      </c>
      <c r="I218">
        <f>MIN(F218-MIN(F218,G218),D218)</f>
        <v/>
      </c>
      <c r="J218">
        <f>D218-I218</f>
        <v/>
      </c>
      <c r="K218">
        <f>F218-MIN(F218,G218)-I218</f>
        <v/>
      </c>
    </row>
    <row r="219">
      <c r="A219" s="21">
        <f>IF(Rechner!$E$4&lt;&gt;"ok","",IF(Rechner!$E$5+217&lt;=Rechner!$B$6,Rechner!$E$5+217,""))</f>
        <v/>
      </c>
      <c r="B219">
        <f>IF(A219="","",LOOKUP(A219,Basiszins!$A$5:$A$18,Basiszins!$B$5:$B$18))</f>
        <v/>
      </c>
      <c r="C219">
        <f>IF(A219="","",B219+Rechner!$E$7)</f>
        <v/>
      </c>
      <c r="D219">
        <f>J218</f>
        <v/>
      </c>
      <c r="E219">
        <f>IF(A219="",0,D219*C219/100/(DATE(YEAR(A219)+1,1,1)-DATE(YEAR(A219),1,1)))</f>
        <v/>
      </c>
      <c r="F219">
        <f>IF(A219="",0,SUMIF(Rechner!$A$12:$A$21,A219,Rechner!$B$12:$B$21))</f>
        <v/>
      </c>
      <c r="G219">
        <f>H218+E219</f>
        <v/>
      </c>
      <c r="H219">
        <f>G219-MIN(F219,G219)</f>
        <v/>
      </c>
      <c r="I219">
        <f>MIN(F219-MIN(F219,G219),D219)</f>
        <v/>
      </c>
      <c r="J219">
        <f>D219-I219</f>
        <v/>
      </c>
      <c r="K219">
        <f>F219-MIN(F219,G219)-I219</f>
        <v/>
      </c>
    </row>
    <row r="220">
      <c r="A220" s="21">
        <f>IF(Rechner!$E$4&lt;&gt;"ok","",IF(Rechner!$E$5+218&lt;=Rechner!$B$6,Rechner!$E$5+218,""))</f>
        <v/>
      </c>
      <c r="B220">
        <f>IF(A220="","",LOOKUP(A220,Basiszins!$A$5:$A$18,Basiszins!$B$5:$B$18))</f>
        <v/>
      </c>
      <c r="C220">
        <f>IF(A220="","",B220+Rechner!$E$7)</f>
        <v/>
      </c>
      <c r="D220">
        <f>J219</f>
        <v/>
      </c>
      <c r="E220">
        <f>IF(A220="",0,D220*C220/100/(DATE(YEAR(A220)+1,1,1)-DATE(YEAR(A220),1,1)))</f>
        <v/>
      </c>
      <c r="F220">
        <f>IF(A220="",0,SUMIF(Rechner!$A$12:$A$21,A220,Rechner!$B$12:$B$21))</f>
        <v/>
      </c>
      <c r="G220">
        <f>H219+E220</f>
        <v/>
      </c>
      <c r="H220">
        <f>G220-MIN(F220,G220)</f>
        <v/>
      </c>
      <c r="I220">
        <f>MIN(F220-MIN(F220,G220),D220)</f>
        <v/>
      </c>
      <c r="J220">
        <f>D220-I220</f>
        <v/>
      </c>
      <c r="K220">
        <f>F220-MIN(F220,G220)-I220</f>
        <v/>
      </c>
    </row>
    <row r="221">
      <c r="A221" s="21">
        <f>IF(Rechner!$E$4&lt;&gt;"ok","",IF(Rechner!$E$5+219&lt;=Rechner!$B$6,Rechner!$E$5+219,""))</f>
        <v/>
      </c>
      <c r="B221">
        <f>IF(A221="","",LOOKUP(A221,Basiszins!$A$5:$A$18,Basiszins!$B$5:$B$18))</f>
        <v/>
      </c>
      <c r="C221">
        <f>IF(A221="","",B221+Rechner!$E$7)</f>
        <v/>
      </c>
      <c r="D221">
        <f>J220</f>
        <v/>
      </c>
      <c r="E221">
        <f>IF(A221="",0,D221*C221/100/(DATE(YEAR(A221)+1,1,1)-DATE(YEAR(A221),1,1)))</f>
        <v/>
      </c>
      <c r="F221">
        <f>IF(A221="",0,SUMIF(Rechner!$A$12:$A$21,A221,Rechner!$B$12:$B$21))</f>
        <v/>
      </c>
      <c r="G221">
        <f>H220+E221</f>
        <v/>
      </c>
      <c r="H221">
        <f>G221-MIN(F221,G221)</f>
        <v/>
      </c>
      <c r="I221">
        <f>MIN(F221-MIN(F221,G221),D221)</f>
        <v/>
      </c>
      <c r="J221">
        <f>D221-I221</f>
        <v/>
      </c>
      <c r="K221">
        <f>F221-MIN(F221,G221)-I221</f>
        <v/>
      </c>
    </row>
    <row r="222">
      <c r="A222" s="21">
        <f>IF(Rechner!$E$4&lt;&gt;"ok","",IF(Rechner!$E$5+220&lt;=Rechner!$B$6,Rechner!$E$5+220,""))</f>
        <v/>
      </c>
      <c r="B222">
        <f>IF(A222="","",LOOKUP(A222,Basiszins!$A$5:$A$18,Basiszins!$B$5:$B$18))</f>
        <v/>
      </c>
      <c r="C222">
        <f>IF(A222="","",B222+Rechner!$E$7)</f>
        <v/>
      </c>
      <c r="D222">
        <f>J221</f>
        <v/>
      </c>
      <c r="E222">
        <f>IF(A222="",0,D222*C222/100/(DATE(YEAR(A222)+1,1,1)-DATE(YEAR(A222),1,1)))</f>
        <v/>
      </c>
      <c r="F222">
        <f>IF(A222="",0,SUMIF(Rechner!$A$12:$A$21,A222,Rechner!$B$12:$B$21))</f>
        <v/>
      </c>
      <c r="G222">
        <f>H221+E222</f>
        <v/>
      </c>
      <c r="H222">
        <f>G222-MIN(F222,G222)</f>
        <v/>
      </c>
      <c r="I222">
        <f>MIN(F222-MIN(F222,G222),D222)</f>
        <v/>
      </c>
      <c r="J222">
        <f>D222-I222</f>
        <v/>
      </c>
      <c r="K222">
        <f>F222-MIN(F222,G222)-I222</f>
        <v/>
      </c>
    </row>
    <row r="223">
      <c r="A223" s="21">
        <f>IF(Rechner!$E$4&lt;&gt;"ok","",IF(Rechner!$E$5+221&lt;=Rechner!$B$6,Rechner!$E$5+221,""))</f>
        <v/>
      </c>
      <c r="B223">
        <f>IF(A223="","",LOOKUP(A223,Basiszins!$A$5:$A$18,Basiszins!$B$5:$B$18))</f>
        <v/>
      </c>
      <c r="C223">
        <f>IF(A223="","",B223+Rechner!$E$7)</f>
        <v/>
      </c>
      <c r="D223">
        <f>J222</f>
        <v/>
      </c>
      <c r="E223">
        <f>IF(A223="",0,D223*C223/100/(DATE(YEAR(A223)+1,1,1)-DATE(YEAR(A223),1,1)))</f>
        <v/>
      </c>
      <c r="F223">
        <f>IF(A223="",0,SUMIF(Rechner!$A$12:$A$21,A223,Rechner!$B$12:$B$21))</f>
        <v/>
      </c>
      <c r="G223">
        <f>H222+E223</f>
        <v/>
      </c>
      <c r="H223">
        <f>G223-MIN(F223,G223)</f>
        <v/>
      </c>
      <c r="I223">
        <f>MIN(F223-MIN(F223,G223),D223)</f>
        <v/>
      </c>
      <c r="J223">
        <f>D223-I223</f>
        <v/>
      </c>
      <c r="K223">
        <f>F223-MIN(F223,G223)-I223</f>
        <v/>
      </c>
    </row>
    <row r="224">
      <c r="A224" s="21">
        <f>IF(Rechner!$E$4&lt;&gt;"ok","",IF(Rechner!$E$5+222&lt;=Rechner!$B$6,Rechner!$E$5+222,""))</f>
        <v/>
      </c>
      <c r="B224">
        <f>IF(A224="","",LOOKUP(A224,Basiszins!$A$5:$A$18,Basiszins!$B$5:$B$18))</f>
        <v/>
      </c>
      <c r="C224">
        <f>IF(A224="","",B224+Rechner!$E$7)</f>
        <v/>
      </c>
      <c r="D224">
        <f>J223</f>
        <v/>
      </c>
      <c r="E224">
        <f>IF(A224="",0,D224*C224/100/(DATE(YEAR(A224)+1,1,1)-DATE(YEAR(A224),1,1)))</f>
        <v/>
      </c>
      <c r="F224">
        <f>IF(A224="",0,SUMIF(Rechner!$A$12:$A$21,A224,Rechner!$B$12:$B$21))</f>
        <v/>
      </c>
      <c r="G224">
        <f>H223+E224</f>
        <v/>
      </c>
      <c r="H224">
        <f>G224-MIN(F224,G224)</f>
        <v/>
      </c>
      <c r="I224">
        <f>MIN(F224-MIN(F224,G224),D224)</f>
        <v/>
      </c>
      <c r="J224">
        <f>D224-I224</f>
        <v/>
      </c>
      <c r="K224">
        <f>F224-MIN(F224,G224)-I224</f>
        <v/>
      </c>
    </row>
    <row r="225">
      <c r="A225" s="21">
        <f>IF(Rechner!$E$4&lt;&gt;"ok","",IF(Rechner!$E$5+223&lt;=Rechner!$B$6,Rechner!$E$5+223,""))</f>
        <v/>
      </c>
      <c r="B225">
        <f>IF(A225="","",LOOKUP(A225,Basiszins!$A$5:$A$18,Basiszins!$B$5:$B$18))</f>
        <v/>
      </c>
      <c r="C225">
        <f>IF(A225="","",B225+Rechner!$E$7)</f>
        <v/>
      </c>
      <c r="D225">
        <f>J224</f>
        <v/>
      </c>
      <c r="E225">
        <f>IF(A225="",0,D225*C225/100/(DATE(YEAR(A225)+1,1,1)-DATE(YEAR(A225),1,1)))</f>
        <v/>
      </c>
      <c r="F225">
        <f>IF(A225="",0,SUMIF(Rechner!$A$12:$A$21,A225,Rechner!$B$12:$B$21))</f>
        <v/>
      </c>
      <c r="G225">
        <f>H224+E225</f>
        <v/>
      </c>
      <c r="H225">
        <f>G225-MIN(F225,G225)</f>
        <v/>
      </c>
      <c r="I225">
        <f>MIN(F225-MIN(F225,G225),D225)</f>
        <v/>
      </c>
      <c r="J225">
        <f>D225-I225</f>
        <v/>
      </c>
      <c r="K225">
        <f>F225-MIN(F225,G225)-I225</f>
        <v/>
      </c>
    </row>
    <row r="226">
      <c r="A226" s="21">
        <f>IF(Rechner!$E$4&lt;&gt;"ok","",IF(Rechner!$E$5+224&lt;=Rechner!$B$6,Rechner!$E$5+224,""))</f>
        <v/>
      </c>
      <c r="B226">
        <f>IF(A226="","",LOOKUP(A226,Basiszins!$A$5:$A$18,Basiszins!$B$5:$B$18))</f>
        <v/>
      </c>
      <c r="C226">
        <f>IF(A226="","",B226+Rechner!$E$7)</f>
        <v/>
      </c>
      <c r="D226">
        <f>J225</f>
        <v/>
      </c>
      <c r="E226">
        <f>IF(A226="",0,D226*C226/100/(DATE(YEAR(A226)+1,1,1)-DATE(YEAR(A226),1,1)))</f>
        <v/>
      </c>
      <c r="F226">
        <f>IF(A226="",0,SUMIF(Rechner!$A$12:$A$21,A226,Rechner!$B$12:$B$21))</f>
        <v/>
      </c>
      <c r="G226">
        <f>H225+E226</f>
        <v/>
      </c>
      <c r="H226">
        <f>G226-MIN(F226,G226)</f>
        <v/>
      </c>
      <c r="I226">
        <f>MIN(F226-MIN(F226,G226),D226)</f>
        <v/>
      </c>
      <c r="J226">
        <f>D226-I226</f>
        <v/>
      </c>
      <c r="K226">
        <f>F226-MIN(F226,G226)-I226</f>
        <v/>
      </c>
    </row>
    <row r="227">
      <c r="A227" s="21">
        <f>IF(Rechner!$E$4&lt;&gt;"ok","",IF(Rechner!$E$5+225&lt;=Rechner!$B$6,Rechner!$E$5+225,""))</f>
        <v/>
      </c>
      <c r="B227">
        <f>IF(A227="","",LOOKUP(A227,Basiszins!$A$5:$A$18,Basiszins!$B$5:$B$18))</f>
        <v/>
      </c>
      <c r="C227">
        <f>IF(A227="","",B227+Rechner!$E$7)</f>
        <v/>
      </c>
      <c r="D227">
        <f>J226</f>
        <v/>
      </c>
      <c r="E227">
        <f>IF(A227="",0,D227*C227/100/(DATE(YEAR(A227)+1,1,1)-DATE(YEAR(A227),1,1)))</f>
        <v/>
      </c>
      <c r="F227">
        <f>IF(A227="",0,SUMIF(Rechner!$A$12:$A$21,A227,Rechner!$B$12:$B$21))</f>
        <v/>
      </c>
      <c r="G227">
        <f>H226+E227</f>
        <v/>
      </c>
      <c r="H227">
        <f>G227-MIN(F227,G227)</f>
        <v/>
      </c>
      <c r="I227">
        <f>MIN(F227-MIN(F227,G227),D227)</f>
        <v/>
      </c>
      <c r="J227">
        <f>D227-I227</f>
        <v/>
      </c>
      <c r="K227">
        <f>F227-MIN(F227,G227)-I227</f>
        <v/>
      </c>
    </row>
    <row r="228">
      <c r="A228" s="21">
        <f>IF(Rechner!$E$4&lt;&gt;"ok","",IF(Rechner!$E$5+226&lt;=Rechner!$B$6,Rechner!$E$5+226,""))</f>
        <v/>
      </c>
      <c r="B228">
        <f>IF(A228="","",LOOKUP(A228,Basiszins!$A$5:$A$18,Basiszins!$B$5:$B$18))</f>
        <v/>
      </c>
      <c r="C228">
        <f>IF(A228="","",B228+Rechner!$E$7)</f>
        <v/>
      </c>
      <c r="D228">
        <f>J227</f>
        <v/>
      </c>
      <c r="E228">
        <f>IF(A228="",0,D228*C228/100/(DATE(YEAR(A228)+1,1,1)-DATE(YEAR(A228),1,1)))</f>
        <v/>
      </c>
      <c r="F228">
        <f>IF(A228="",0,SUMIF(Rechner!$A$12:$A$21,A228,Rechner!$B$12:$B$21))</f>
        <v/>
      </c>
      <c r="G228">
        <f>H227+E228</f>
        <v/>
      </c>
      <c r="H228">
        <f>G228-MIN(F228,G228)</f>
        <v/>
      </c>
      <c r="I228">
        <f>MIN(F228-MIN(F228,G228),D228)</f>
        <v/>
      </c>
      <c r="J228">
        <f>D228-I228</f>
        <v/>
      </c>
      <c r="K228">
        <f>F228-MIN(F228,G228)-I228</f>
        <v/>
      </c>
    </row>
    <row r="229">
      <c r="A229" s="21">
        <f>IF(Rechner!$E$4&lt;&gt;"ok","",IF(Rechner!$E$5+227&lt;=Rechner!$B$6,Rechner!$E$5+227,""))</f>
        <v/>
      </c>
      <c r="B229">
        <f>IF(A229="","",LOOKUP(A229,Basiszins!$A$5:$A$18,Basiszins!$B$5:$B$18))</f>
        <v/>
      </c>
      <c r="C229">
        <f>IF(A229="","",B229+Rechner!$E$7)</f>
        <v/>
      </c>
      <c r="D229">
        <f>J228</f>
        <v/>
      </c>
      <c r="E229">
        <f>IF(A229="",0,D229*C229/100/(DATE(YEAR(A229)+1,1,1)-DATE(YEAR(A229),1,1)))</f>
        <v/>
      </c>
      <c r="F229">
        <f>IF(A229="",0,SUMIF(Rechner!$A$12:$A$21,A229,Rechner!$B$12:$B$21))</f>
        <v/>
      </c>
      <c r="G229">
        <f>H228+E229</f>
        <v/>
      </c>
      <c r="H229">
        <f>G229-MIN(F229,G229)</f>
        <v/>
      </c>
      <c r="I229">
        <f>MIN(F229-MIN(F229,G229),D229)</f>
        <v/>
      </c>
      <c r="J229">
        <f>D229-I229</f>
        <v/>
      </c>
      <c r="K229">
        <f>F229-MIN(F229,G229)-I229</f>
        <v/>
      </c>
    </row>
    <row r="230">
      <c r="A230" s="21">
        <f>IF(Rechner!$E$4&lt;&gt;"ok","",IF(Rechner!$E$5+228&lt;=Rechner!$B$6,Rechner!$E$5+228,""))</f>
        <v/>
      </c>
      <c r="B230">
        <f>IF(A230="","",LOOKUP(A230,Basiszins!$A$5:$A$18,Basiszins!$B$5:$B$18))</f>
        <v/>
      </c>
      <c r="C230">
        <f>IF(A230="","",B230+Rechner!$E$7)</f>
        <v/>
      </c>
      <c r="D230">
        <f>J229</f>
        <v/>
      </c>
      <c r="E230">
        <f>IF(A230="",0,D230*C230/100/(DATE(YEAR(A230)+1,1,1)-DATE(YEAR(A230),1,1)))</f>
        <v/>
      </c>
      <c r="F230">
        <f>IF(A230="",0,SUMIF(Rechner!$A$12:$A$21,A230,Rechner!$B$12:$B$21))</f>
        <v/>
      </c>
      <c r="G230">
        <f>H229+E230</f>
        <v/>
      </c>
      <c r="H230">
        <f>G230-MIN(F230,G230)</f>
        <v/>
      </c>
      <c r="I230">
        <f>MIN(F230-MIN(F230,G230),D230)</f>
        <v/>
      </c>
      <c r="J230">
        <f>D230-I230</f>
        <v/>
      </c>
      <c r="K230">
        <f>F230-MIN(F230,G230)-I230</f>
        <v/>
      </c>
    </row>
    <row r="231">
      <c r="A231" s="21">
        <f>IF(Rechner!$E$4&lt;&gt;"ok","",IF(Rechner!$E$5+229&lt;=Rechner!$B$6,Rechner!$E$5+229,""))</f>
        <v/>
      </c>
      <c r="B231">
        <f>IF(A231="","",LOOKUP(A231,Basiszins!$A$5:$A$18,Basiszins!$B$5:$B$18))</f>
        <v/>
      </c>
      <c r="C231">
        <f>IF(A231="","",B231+Rechner!$E$7)</f>
        <v/>
      </c>
      <c r="D231">
        <f>J230</f>
        <v/>
      </c>
      <c r="E231">
        <f>IF(A231="",0,D231*C231/100/(DATE(YEAR(A231)+1,1,1)-DATE(YEAR(A231),1,1)))</f>
        <v/>
      </c>
      <c r="F231">
        <f>IF(A231="",0,SUMIF(Rechner!$A$12:$A$21,A231,Rechner!$B$12:$B$21))</f>
        <v/>
      </c>
      <c r="G231">
        <f>H230+E231</f>
        <v/>
      </c>
      <c r="H231">
        <f>G231-MIN(F231,G231)</f>
        <v/>
      </c>
      <c r="I231">
        <f>MIN(F231-MIN(F231,G231),D231)</f>
        <v/>
      </c>
      <c r="J231">
        <f>D231-I231</f>
        <v/>
      </c>
      <c r="K231">
        <f>F231-MIN(F231,G231)-I231</f>
        <v/>
      </c>
    </row>
    <row r="232">
      <c r="A232" s="21">
        <f>IF(Rechner!$E$4&lt;&gt;"ok","",IF(Rechner!$E$5+230&lt;=Rechner!$B$6,Rechner!$E$5+230,""))</f>
        <v/>
      </c>
      <c r="B232">
        <f>IF(A232="","",LOOKUP(A232,Basiszins!$A$5:$A$18,Basiszins!$B$5:$B$18))</f>
        <v/>
      </c>
      <c r="C232">
        <f>IF(A232="","",B232+Rechner!$E$7)</f>
        <v/>
      </c>
      <c r="D232">
        <f>J231</f>
        <v/>
      </c>
      <c r="E232">
        <f>IF(A232="",0,D232*C232/100/(DATE(YEAR(A232)+1,1,1)-DATE(YEAR(A232),1,1)))</f>
        <v/>
      </c>
      <c r="F232">
        <f>IF(A232="",0,SUMIF(Rechner!$A$12:$A$21,A232,Rechner!$B$12:$B$21))</f>
        <v/>
      </c>
      <c r="G232">
        <f>H231+E232</f>
        <v/>
      </c>
      <c r="H232">
        <f>G232-MIN(F232,G232)</f>
        <v/>
      </c>
      <c r="I232">
        <f>MIN(F232-MIN(F232,G232),D232)</f>
        <v/>
      </c>
      <c r="J232">
        <f>D232-I232</f>
        <v/>
      </c>
      <c r="K232">
        <f>F232-MIN(F232,G232)-I232</f>
        <v/>
      </c>
    </row>
    <row r="233">
      <c r="A233" s="21">
        <f>IF(Rechner!$E$4&lt;&gt;"ok","",IF(Rechner!$E$5+231&lt;=Rechner!$B$6,Rechner!$E$5+231,""))</f>
        <v/>
      </c>
      <c r="B233">
        <f>IF(A233="","",LOOKUP(A233,Basiszins!$A$5:$A$18,Basiszins!$B$5:$B$18))</f>
        <v/>
      </c>
      <c r="C233">
        <f>IF(A233="","",B233+Rechner!$E$7)</f>
        <v/>
      </c>
      <c r="D233">
        <f>J232</f>
        <v/>
      </c>
      <c r="E233">
        <f>IF(A233="",0,D233*C233/100/(DATE(YEAR(A233)+1,1,1)-DATE(YEAR(A233),1,1)))</f>
        <v/>
      </c>
      <c r="F233">
        <f>IF(A233="",0,SUMIF(Rechner!$A$12:$A$21,A233,Rechner!$B$12:$B$21))</f>
        <v/>
      </c>
      <c r="G233">
        <f>H232+E233</f>
        <v/>
      </c>
      <c r="H233">
        <f>G233-MIN(F233,G233)</f>
        <v/>
      </c>
      <c r="I233">
        <f>MIN(F233-MIN(F233,G233),D233)</f>
        <v/>
      </c>
      <c r="J233">
        <f>D233-I233</f>
        <v/>
      </c>
      <c r="K233">
        <f>F233-MIN(F233,G233)-I233</f>
        <v/>
      </c>
    </row>
    <row r="234">
      <c r="A234" s="21">
        <f>IF(Rechner!$E$4&lt;&gt;"ok","",IF(Rechner!$E$5+232&lt;=Rechner!$B$6,Rechner!$E$5+232,""))</f>
        <v/>
      </c>
      <c r="B234">
        <f>IF(A234="","",LOOKUP(A234,Basiszins!$A$5:$A$18,Basiszins!$B$5:$B$18))</f>
        <v/>
      </c>
      <c r="C234">
        <f>IF(A234="","",B234+Rechner!$E$7)</f>
        <v/>
      </c>
      <c r="D234">
        <f>J233</f>
        <v/>
      </c>
      <c r="E234">
        <f>IF(A234="",0,D234*C234/100/(DATE(YEAR(A234)+1,1,1)-DATE(YEAR(A234),1,1)))</f>
        <v/>
      </c>
      <c r="F234">
        <f>IF(A234="",0,SUMIF(Rechner!$A$12:$A$21,A234,Rechner!$B$12:$B$21))</f>
        <v/>
      </c>
      <c r="G234">
        <f>H233+E234</f>
        <v/>
      </c>
      <c r="H234">
        <f>G234-MIN(F234,G234)</f>
        <v/>
      </c>
      <c r="I234">
        <f>MIN(F234-MIN(F234,G234),D234)</f>
        <v/>
      </c>
      <c r="J234">
        <f>D234-I234</f>
        <v/>
      </c>
      <c r="K234">
        <f>F234-MIN(F234,G234)-I234</f>
        <v/>
      </c>
    </row>
    <row r="235">
      <c r="A235" s="21">
        <f>IF(Rechner!$E$4&lt;&gt;"ok","",IF(Rechner!$E$5+233&lt;=Rechner!$B$6,Rechner!$E$5+233,""))</f>
        <v/>
      </c>
      <c r="B235">
        <f>IF(A235="","",LOOKUP(A235,Basiszins!$A$5:$A$18,Basiszins!$B$5:$B$18))</f>
        <v/>
      </c>
      <c r="C235">
        <f>IF(A235="","",B235+Rechner!$E$7)</f>
        <v/>
      </c>
      <c r="D235">
        <f>J234</f>
        <v/>
      </c>
      <c r="E235">
        <f>IF(A235="",0,D235*C235/100/(DATE(YEAR(A235)+1,1,1)-DATE(YEAR(A235),1,1)))</f>
        <v/>
      </c>
      <c r="F235">
        <f>IF(A235="",0,SUMIF(Rechner!$A$12:$A$21,A235,Rechner!$B$12:$B$21))</f>
        <v/>
      </c>
      <c r="G235">
        <f>H234+E235</f>
        <v/>
      </c>
      <c r="H235">
        <f>G235-MIN(F235,G235)</f>
        <v/>
      </c>
      <c r="I235">
        <f>MIN(F235-MIN(F235,G235),D235)</f>
        <v/>
      </c>
      <c r="J235">
        <f>D235-I235</f>
        <v/>
      </c>
      <c r="K235">
        <f>F235-MIN(F235,G235)-I235</f>
        <v/>
      </c>
    </row>
    <row r="236">
      <c r="A236" s="21">
        <f>IF(Rechner!$E$4&lt;&gt;"ok","",IF(Rechner!$E$5+234&lt;=Rechner!$B$6,Rechner!$E$5+234,""))</f>
        <v/>
      </c>
      <c r="B236">
        <f>IF(A236="","",LOOKUP(A236,Basiszins!$A$5:$A$18,Basiszins!$B$5:$B$18))</f>
        <v/>
      </c>
      <c r="C236">
        <f>IF(A236="","",B236+Rechner!$E$7)</f>
        <v/>
      </c>
      <c r="D236">
        <f>J235</f>
        <v/>
      </c>
      <c r="E236">
        <f>IF(A236="",0,D236*C236/100/(DATE(YEAR(A236)+1,1,1)-DATE(YEAR(A236),1,1)))</f>
        <v/>
      </c>
      <c r="F236">
        <f>IF(A236="",0,SUMIF(Rechner!$A$12:$A$21,A236,Rechner!$B$12:$B$21))</f>
        <v/>
      </c>
      <c r="G236">
        <f>H235+E236</f>
        <v/>
      </c>
      <c r="H236">
        <f>G236-MIN(F236,G236)</f>
        <v/>
      </c>
      <c r="I236">
        <f>MIN(F236-MIN(F236,G236),D236)</f>
        <v/>
      </c>
      <c r="J236">
        <f>D236-I236</f>
        <v/>
      </c>
      <c r="K236">
        <f>F236-MIN(F236,G236)-I236</f>
        <v/>
      </c>
    </row>
    <row r="237">
      <c r="A237" s="21">
        <f>IF(Rechner!$E$4&lt;&gt;"ok","",IF(Rechner!$E$5+235&lt;=Rechner!$B$6,Rechner!$E$5+235,""))</f>
        <v/>
      </c>
      <c r="B237">
        <f>IF(A237="","",LOOKUP(A237,Basiszins!$A$5:$A$18,Basiszins!$B$5:$B$18))</f>
        <v/>
      </c>
      <c r="C237">
        <f>IF(A237="","",B237+Rechner!$E$7)</f>
        <v/>
      </c>
      <c r="D237">
        <f>J236</f>
        <v/>
      </c>
      <c r="E237">
        <f>IF(A237="",0,D237*C237/100/(DATE(YEAR(A237)+1,1,1)-DATE(YEAR(A237),1,1)))</f>
        <v/>
      </c>
      <c r="F237">
        <f>IF(A237="",0,SUMIF(Rechner!$A$12:$A$21,A237,Rechner!$B$12:$B$21))</f>
        <v/>
      </c>
      <c r="G237">
        <f>H236+E237</f>
        <v/>
      </c>
      <c r="H237">
        <f>G237-MIN(F237,G237)</f>
        <v/>
      </c>
      <c r="I237">
        <f>MIN(F237-MIN(F237,G237),D237)</f>
        <v/>
      </c>
      <c r="J237">
        <f>D237-I237</f>
        <v/>
      </c>
      <c r="K237">
        <f>F237-MIN(F237,G237)-I237</f>
        <v/>
      </c>
    </row>
    <row r="238">
      <c r="A238" s="21">
        <f>IF(Rechner!$E$4&lt;&gt;"ok","",IF(Rechner!$E$5+236&lt;=Rechner!$B$6,Rechner!$E$5+236,""))</f>
        <v/>
      </c>
      <c r="B238">
        <f>IF(A238="","",LOOKUP(A238,Basiszins!$A$5:$A$18,Basiszins!$B$5:$B$18))</f>
        <v/>
      </c>
      <c r="C238">
        <f>IF(A238="","",B238+Rechner!$E$7)</f>
        <v/>
      </c>
      <c r="D238">
        <f>J237</f>
        <v/>
      </c>
      <c r="E238">
        <f>IF(A238="",0,D238*C238/100/(DATE(YEAR(A238)+1,1,1)-DATE(YEAR(A238),1,1)))</f>
        <v/>
      </c>
      <c r="F238">
        <f>IF(A238="",0,SUMIF(Rechner!$A$12:$A$21,A238,Rechner!$B$12:$B$21))</f>
        <v/>
      </c>
      <c r="G238">
        <f>H237+E238</f>
        <v/>
      </c>
      <c r="H238">
        <f>G238-MIN(F238,G238)</f>
        <v/>
      </c>
      <c r="I238">
        <f>MIN(F238-MIN(F238,G238),D238)</f>
        <v/>
      </c>
      <c r="J238">
        <f>D238-I238</f>
        <v/>
      </c>
      <c r="K238">
        <f>F238-MIN(F238,G238)-I238</f>
        <v/>
      </c>
    </row>
    <row r="239">
      <c r="A239" s="21">
        <f>IF(Rechner!$E$4&lt;&gt;"ok","",IF(Rechner!$E$5+237&lt;=Rechner!$B$6,Rechner!$E$5+237,""))</f>
        <v/>
      </c>
      <c r="B239">
        <f>IF(A239="","",LOOKUP(A239,Basiszins!$A$5:$A$18,Basiszins!$B$5:$B$18))</f>
        <v/>
      </c>
      <c r="C239">
        <f>IF(A239="","",B239+Rechner!$E$7)</f>
        <v/>
      </c>
      <c r="D239">
        <f>J238</f>
        <v/>
      </c>
      <c r="E239">
        <f>IF(A239="",0,D239*C239/100/(DATE(YEAR(A239)+1,1,1)-DATE(YEAR(A239),1,1)))</f>
        <v/>
      </c>
      <c r="F239">
        <f>IF(A239="",0,SUMIF(Rechner!$A$12:$A$21,A239,Rechner!$B$12:$B$21))</f>
        <v/>
      </c>
      <c r="G239">
        <f>H238+E239</f>
        <v/>
      </c>
      <c r="H239">
        <f>G239-MIN(F239,G239)</f>
        <v/>
      </c>
      <c r="I239">
        <f>MIN(F239-MIN(F239,G239),D239)</f>
        <v/>
      </c>
      <c r="J239">
        <f>D239-I239</f>
        <v/>
      </c>
      <c r="K239">
        <f>F239-MIN(F239,G239)-I239</f>
        <v/>
      </c>
    </row>
    <row r="240">
      <c r="A240" s="21">
        <f>IF(Rechner!$E$4&lt;&gt;"ok","",IF(Rechner!$E$5+238&lt;=Rechner!$B$6,Rechner!$E$5+238,""))</f>
        <v/>
      </c>
      <c r="B240">
        <f>IF(A240="","",LOOKUP(A240,Basiszins!$A$5:$A$18,Basiszins!$B$5:$B$18))</f>
        <v/>
      </c>
      <c r="C240">
        <f>IF(A240="","",B240+Rechner!$E$7)</f>
        <v/>
      </c>
      <c r="D240">
        <f>J239</f>
        <v/>
      </c>
      <c r="E240">
        <f>IF(A240="",0,D240*C240/100/(DATE(YEAR(A240)+1,1,1)-DATE(YEAR(A240),1,1)))</f>
        <v/>
      </c>
      <c r="F240">
        <f>IF(A240="",0,SUMIF(Rechner!$A$12:$A$21,A240,Rechner!$B$12:$B$21))</f>
        <v/>
      </c>
      <c r="G240">
        <f>H239+E240</f>
        <v/>
      </c>
      <c r="H240">
        <f>G240-MIN(F240,G240)</f>
        <v/>
      </c>
      <c r="I240">
        <f>MIN(F240-MIN(F240,G240),D240)</f>
        <v/>
      </c>
      <c r="J240">
        <f>D240-I240</f>
        <v/>
      </c>
      <c r="K240">
        <f>F240-MIN(F240,G240)-I240</f>
        <v/>
      </c>
    </row>
    <row r="241">
      <c r="A241" s="21">
        <f>IF(Rechner!$E$4&lt;&gt;"ok","",IF(Rechner!$E$5+239&lt;=Rechner!$B$6,Rechner!$E$5+239,""))</f>
        <v/>
      </c>
      <c r="B241">
        <f>IF(A241="","",LOOKUP(A241,Basiszins!$A$5:$A$18,Basiszins!$B$5:$B$18))</f>
        <v/>
      </c>
      <c r="C241">
        <f>IF(A241="","",B241+Rechner!$E$7)</f>
        <v/>
      </c>
      <c r="D241">
        <f>J240</f>
        <v/>
      </c>
      <c r="E241">
        <f>IF(A241="",0,D241*C241/100/(DATE(YEAR(A241)+1,1,1)-DATE(YEAR(A241),1,1)))</f>
        <v/>
      </c>
      <c r="F241">
        <f>IF(A241="",0,SUMIF(Rechner!$A$12:$A$21,A241,Rechner!$B$12:$B$21))</f>
        <v/>
      </c>
      <c r="G241">
        <f>H240+E241</f>
        <v/>
      </c>
      <c r="H241">
        <f>G241-MIN(F241,G241)</f>
        <v/>
      </c>
      <c r="I241">
        <f>MIN(F241-MIN(F241,G241),D241)</f>
        <v/>
      </c>
      <c r="J241">
        <f>D241-I241</f>
        <v/>
      </c>
      <c r="K241">
        <f>F241-MIN(F241,G241)-I241</f>
        <v/>
      </c>
    </row>
    <row r="242">
      <c r="A242" s="21">
        <f>IF(Rechner!$E$4&lt;&gt;"ok","",IF(Rechner!$E$5+240&lt;=Rechner!$B$6,Rechner!$E$5+240,""))</f>
        <v/>
      </c>
      <c r="B242">
        <f>IF(A242="","",LOOKUP(A242,Basiszins!$A$5:$A$18,Basiszins!$B$5:$B$18))</f>
        <v/>
      </c>
      <c r="C242">
        <f>IF(A242="","",B242+Rechner!$E$7)</f>
        <v/>
      </c>
      <c r="D242">
        <f>J241</f>
        <v/>
      </c>
      <c r="E242">
        <f>IF(A242="",0,D242*C242/100/(DATE(YEAR(A242)+1,1,1)-DATE(YEAR(A242),1,1)))</f>
        <v/>
      </c>
      <c r="F242">
        <f>IF(A242="",0,SUMIF(Rechner!$A$12:$A$21,A242,Rechner!$B$12:$B$21))</f>
        <v/>
      </c>
      <c r="G242">
        <f>H241+E242</f>
        <v/>
      </c>
      <c r="H242">
        <f>G242-MIN(F242,G242)</f>
        <v/>
      </c>
      <c r="I242">
        <f>MIN(F242-MIN(F242,G242),D242)</f>
        <v/>
      </c>
      <c r="J242">
        <f>D242-I242</f>
        <v/>
      </c>
      <c r="K242">
        <f>F242-MIN(F242,G242)-I242</f>
        <v/>
      </c>
    </row>
    <row r="243">
      <c r="A243" s="21">
        <f>IF(Rechner!$E$4&lt;&gt;"ok","",IF(Rechner!$E$5+241&lt;=Rechner!$B$6,Rechner!$E$5+241,""))</f>
        <v/>
      </c>
      <c r="B243">
        <f>IF(A243="","",LOOKUP(A243,Basiszins!$A$5:$A$18,Basiszins!$B$5:$B$18))</f>
        <v/>
      </c>
      <c r="C243">
        <f>IF(A243="","",B243+Rechner!$E$7)</f>
        <v/>
      </c>
      <c r="D243">
        <f>J242</f>
        <v/>
      </c>
      <c r="E243">
        <f>IF(A243="",0,D243*C243/100/(DATE(YEAR(A243)+1,1,1)-DATE(YEAR(A243),1,1)))</f>
        <v/>
      </c>
      <c r="F243">
        <f>IF(A243="",0,SUMIF(Rechner!$A$12:$A$21,A243,Rechner!$B$12:$B$21))</f>
        <v/>
      </c>
      <c r="G243">
        <f>H242+E243</f>
        <v/>
      </c>
      <c r="H243">
        <f>G243-MIN(F243,G243)</f>
        <v/>
      </c>
      <c r="I243">
        <f>MIN(F243-MIN(F243,G243),D243)</f>
        <v/>
      </c>
      <c r="J243">
        <f>D243-I243</f>
        <v/>
      </c>
      <c r="K243">
        <f>F243-MIN(F243,G243)-I243</f>
        <v/>
      </c>
    </row>
    <row r="244">
      <c r="A244" s="21">
        <f>IF(Rechner!$E$4&lt;&gt;"ok","",IF(Rechner!$E$5+242&lt;=Rechner!$B$6,Rechner!$E$5+242,""))</f>
        <v/>
      </c>
      <c r="B244">
        <f>IF(A244="","",LOOKUP(A244,Basiszins!$A$5:$A$18,Basiszins!$B$5:$B$18))</f>
        <v/>
      </c>
      <c r="C244">
        <f>IF(A244="","",B244+Rechner!$E$7)</f>
        <v/>
      </c>
      <c r="D244">
        <f>J243</f>
        <v/>
      </c>
      <c r="E244">
        <f>IF(A244="",0,D244*C244/100/(DATE(YEAR(A244)+1,1,1)-DATE(YEAR(A244),1,1)))</f>
        <v/>
      </c>
      <c r="F244">
        <f>IF(A244="",0,SUMIF(Rechner!$A$12:$A$21,A244,Rechner!$B$12:$B$21))</f>
        <v/>
      </c>
      <c r="G244">
        <f>H243+E244</f>
        <v/>
      </c>
      <c r="H244">
        <f>G244-MIN(F244,G244)</f>
        <v/>
      </c>
      <c r="I244">
        <f>MIN(F244-MIN(F244,G244),D244)</f>
        <v/>
      </c>
      <c r="J244">
        <f>D244-I244</f>
        <v/>
      </c>
      <c r="K244">
        <f>F244-MIN(F244,G244)-I244</f>
        <v/>
      </c>
    </row>
    <row r="245">
      <c r="A245" s="21">
        <f>IF(Rechner!$E$4&lt;&gt;"ok","",IF(Rechner!$E$5+243&lt;=Rechner!$B$6,Rechner!$E$5+243,""))</f>
        <v/>
      </c>
      <c r="B245">
        <f>IF(A245="","",LOOKUP(A245,Basiszins!$A$5:$A$18,Basiszins!$B$5:$B$18))</f>
        <v/>
      </c>
      <c r="C245">
        <f>IF(A245="","",B245+Rechner!$E$7)</f>
        <v/>
      </c>
      <c r="D245">
        <f>J244</f>
        <v/>
      </c>
      <c r="E245">
        <f>IF(A245="",0,D245*C245/100/(DATE(YEAR(A245)+1,1,1)-DATE(YEAR(A245),1,1)))</f>
        <v/>
      </c>
      <c r="F245">
        <f>IF(A245="",0,SUMIF(Rechner!$A$12:$A$21,A245,Rechner!$B$12:$B$21))</f>
        <v/>
      </c>
      <c r="G245">
        <f>H244+E245</f>
        <v/>
      </c>
      <c r="H245">
        <f>G245-MIN(F245,G245)</f>
        <v/>
      </c>
      <c r="I245">
        <f>MIN(F245-MIN(F245,G245),D245)</f>
        <v/>
      </c>
      <c r="J245">
        <f>D245-I245</f>
        <v/>
      </c>
      <c r="K245">
        <f>F245-MIN(F245,G245)-I245</f>
        <v/>
      </c>
    </row>
    <row r="246">
      <c r="A246" s="21">
        <f>IF(Rechner!$E$4&lt;&gt;"ok","",IF(Rechner!$E$5+244&lt;=Rechner!$B$6,Rechner!$E$5+244,""))</f>
        <v/>
      </c>
      <c r="B246">
        <f>IF(A246="","",LOOKUP(A246,Basiszins!$A$5:$A$18,Basiszins!$B$5:$B$18))</f>
        <v/>
      </c>
      <c r="C246">
        <f>IF(A246="","",B246+Rechner!$E$7)</f>
        <v/>
      </c>
      <c r="D246">
        <f>J245</f>
        <v/>
      </c>
      <c r="E246">
        <f>IF(A246="",0,D246*C246/100/(DATE(YEAR(A246)+1,1,1)-DATE(YEAR(A246),1,1)))</f>
        <v/>
      </c>
      <c r="F246">
        <f>IF(A246="",0,SUMIF(Rechner!$A$12:$A$21,A246,Rechner!$B$12:$B$21))</f>
        <v/>
      </c>
      <c r="G246">
        <f>H245+E246</f>
        <v/>
      </c>
      <c r="H246">
        <f>G246-MIN(F246,G246)</f>
        <v/>
      </c>
      <c r="I246">
        <f>MIN(F246-MIN(F246,G246),D246)</f>
        <v/>
      </c>
      <c r="J246">
        <f>D246-I246</f>
        <v/>
      </c>
      <c r="K246">
        <f>F246-MIN(F246,G246)-I246</f>
        <v/>
      </c>
    </row>
    <row r="247">
      <c r="A247" s="21">
        <f>IF(Rechner!$E$4&lt;&gt;"ok","",IF(Rechner!$E$5+245&lt;=Rechner!$B$6,Rechner!$E$5+245,""))</f>
        <v/>
      </c>
      <c r="B247">
        <f>IF(A247="","",LOOKUP(A247,Basiszins!$A$5:$A$18,Basiszins!$B$5:$B$18))</f>
        <v/>
      </c>
      <c r="C247">
        <f>IF(A247="","",B247+Rechner!$E$7)</f>
        <v/>
      </c>
      <c r="D247">
        <f>J246</f>
        <v/>
      </c>
      <c r="E247">
        <f>IF(A247="",0,D247*C247/100/(DATE(YEAR(A247)+1,1,1)-DATE(YEAR(A247),1,1)))</f>
        <v/>
      </c>
      <c r="F247">
        <f>IF(A247="",0,SUMIF(Rechner!$A$12:$A$21,A247,Rechner!$B$12:$B$21))</f>
        <v/>
      </c>
      <c r="G247">
        <f>H246+E247</f>
        <v/>
      </c>
      <c r="H247">
        <f>G247-MIN(F247,G247)</f>
        <v/>
      </c>
      <c r="I247">
        <f>MIN(F247-MIN(F247,G247),D247)</f>
        <v/>
      </c>
      <c r="J247">
        <f>D247-I247</f>
        <v/>
      </c>
      <c r="K247">
        <f>F247-MIN(F247,G247)-I247</f>
        <v/>
      </c>
    </row>
    <row r="248">
      <c r="A248" s="21">
        <f>IF(Rechner!$E$4&lt;&gt;"ok","",IF(Rechner!$E$5+246&lt;=Rechner!$B$6,Rechner!$E$5+246,""))</f>
        <v/>
      </c>
      <c r="B248">
        <f>IF(A248="","",LOOKUP(A248,Basiszins!$A$5:$A$18,Basiszins!$B$5:$B$18))</f>
        <v/>
      </c>
      <c r="C248">
        <f>IF(A248="","",B248+Rechner!$E$7)</f>
        <v/>
      </c>
      <c r="D248">
        <f>J247</f>
        <v/>
      </c>
      <c r="E248">
        <f>IF(A248="",0,D248*C248/100/(DATE(YEAR(A248)+1,1,1)-DATE(YEAR(A248),1,1)))</f>
        <v/>
      </c>
      <c r="F248">
        <f>IF(A248="",0,SUMIF(Rechner!$A$12:$A$21,A248,Rechner!$B$12:$B$21))</f>
        <v/>
      </c>
      <c r="G248">
        <f>H247+E248</f>
        <v/>
      </c>
      <c r="H248">
        <f>G248-MIN(F248,G248)</f>
        <v/>
      </c>
      <c r="I248">
        <f>MIN(F248-MIN(F248,G248),D248)</f>
        <v/>
      </c>
      <c r="J248">
        <f>D248-I248</f>
        <v/>
      </c>
      <c r="K248">
        <f>F248-MIN(F248,G248)-I248</f>
        <v/>
      </c>
    </row>
    <row r="249">
      <c r="A249" s="21">
        <f>IF(Rechner!$E$4&lt;&gt;"ok","",IF(Rechner!$E$5+247&lt;=Rechner!$B$6,Rechner!$E$5+247,""))</f>
        <v/>
      </c>
      <c r="B249">
        <f>IF(A249="","",LOOKUP(A249,Basiszins!$A$5:$A$18,Basiszins!$B$5:$B$18))</f>
        <v/>
      </c>
      <c r="C249">
        <f>IF(A249="","",B249+Rechner!$E$7)</f>
        <v/>
      </c>
      <c r="D249">
        <f>J248</f>
        <v/>
      </c>
      <c r="E249">
        <f>IF(A249="",0,D249*C249/100/(DATE(YEAR(A249)+1,1,1)-DATE(YEAR(A249),1,1)))</f>
        <v/>
      </c>
      <c r="F249">
        <f>IF(A249="",0,SUMIF(Rechner!$A$12:$A$21,A249,Rechner!$B$12:$B$21))</f>
        <v/>
      </c>
      <c r="G249">
        <f>H248+E249</f>
        <v/>
      </c>
      <c r="H249">
        <f>G249-MIN(F249,G249)</f>
        <v/>
      </c>
      <c r="I249">
        <f>MIN(F249-MIN(F249,G249),D249)</f>
        <v/>
      </c>
      <c r="J249">
        <f>D249-I249</f>
        <v/>
      </c>
      <c r="K249">
        <f>F249-MIN(F249,G249)-I249</f>
        <v/>
      </c>
    </row>
    <row r="250">
      <c r="A250" s="21">
        <f>IF(Rechner!$E$4&lt;&gt;"ok","",IF(Rechner!$E$5+248&lt;=Rechner!$B$6,Rechner!$E$5+248,""))</f>
        <v/>
      </c>
      <c r="B250">
        <f>IF(A250="","",LOOKUP(A250,Basiszins!$A$5:$A$18,Basiszins!$B$5:$B$18))</f>
        <v/>
      </c>
      <c r="C250">
        <f>IF(A250="","",B250+Rechner!$E$7)</f>
        <v/>
      </c>
      <c r="D250">
        <f>J249</f>
        <v/>
      </c>
      <c r="E250">
        <f>IF(A250="",0,D250*C250/100/(DATE(YEAR(A250)+1,1,1)-DATE(YEAR(A250),1,1)))</f>
        <v/>
      </c>
      <c r="F250">
        <f>IF(A250="",0,SUMIF(Rechner!$A$12:$A$21,A250,Rechner!$B$12:$B$21))</f>
        <v/>
      </c>
      <c r="G250">
        <f>H249+E250</f>
        <v/>
      </c>
      <c r="H250">
        <f>G250-MIN(F250,G250)</f>
        <v/>
      </c>
      <c r="I250">
        <f>MIN(F250-MIN(F250,G250),D250)</f>
        <v/>
      </c>
      <c r="J250">
        <f>D250-I250</f>
        <v/>
      </c>
      <c r="K250">
        <f>F250-MIN(F250,G250)-I250</f>
        <v/>
      </c>
    </row>
    <row r="251">
      <c r="A251" s="21">
        <f>IF(Rechner!$E$4&lt;&gt;"ok","",IF(Rechner!$E$5+249&lt;=Rechner!$B$6,Rechner!$E$5+249,""))</f>
        <v/>
      </c>
      <c r="B251">
        <f>IF(A251="","",LOOKUP(A251,Basiszins!$A$5:$A$18,Basiszins!$B$5:$B$18))</f>
        <v/>
      </c>
      <c r="C251">
        <f>IF(A251="","",B251+Rechner!$E$7)</f>
        <v/>
      </c>
      <c r="D251">
        <f>J250</f>
        <v/>
      </c>
      <c r="E251">
        <f>IF(A251="",0,D251*C251/100/(DATE(YEAR(A251)+1,1,1)-DATE(YEAR(A251),1,1)))</f>
        <v/>
      </c>
      <c r="F251">
        <f>IF(A251="",0,SUMIF(Rechner!$A$12:$A$21,A251,Rechner!$B$12:$B$21))</f>
        <v/>
      </c>
      <c r="G251">
        <f>H250+E251</f>
        <v/>
      </c>
      <c r="H251">
        <f>G251-MIN(F251,G251)</f>
        <v/>
      </c>
      <c r="I251">
        <f>MIN(F251-MIN(F251,G251),D251)</f>
        <v/>
      </c>
      <c r="J251">
        <f>D251-I251</f>
        <v/>
      </c>
      <c r="K251">
        <f>F251-MIN(F251,G251)-I251</f>
        <v/>
      </c>
    </row>
    <row r="252">
      <c r="A252" s="21">
        <f>IF(Rechner!$E$4&lt;&gt;"ok","",IF(Rechner!$E$5+250&lt;=Rechner!$B$6,Rechner!$E$5+250,""))</f>
        <v/>
      </c>
      <c r="B252">
        <f>IF(A252="","",LOOKUP(A252,Basiszins!$A$5:$A$18,Basiszins!$B$5:$B$18))</f>
        <v/>
      </c>
      <c r="C252">
        <f>IF(A252="","",B252+Rechner!$E$7)</f>
        <v/>
      </c>
      <c r="D252">
        <f>J251</f>
        <v/>
      </c>
      <c r="E252">
        <f>IF(A252="",0,D252*C252/100/(DATE(YEAR(A252)+1,1,1)-DATE(YEAR(A252),1,1)))</f>
        <v/>
      </c>
      <c r="F252">
        <f>IF(A252="",0,SUMIF(Rechner!$A$12:$A$21,A252,Rechner!$B$12:$B$21))</f>
        <v/>
      </c>
      <c r="G252">
        <f>H251+E252</f>
        <v/>
      </c>
      <c r="H252">
        <f>G252-MIN(F252,G252)</f>
        <v/>
      </c>
      <c r="I252">
        <f>MIN(F252-MIN(F252,G252),D252)</f>
        <v/>
      </c>
      <c r="J252">
        <f>D252-I252</f>
        <v/>
      </c>
      <c r="K252">
        <f>F252-MIN(F252,G252)-I252</f>
        <v/>
      </c>
    </row>
    <row r="253">
      <c r="A253" s="21">
        <f>IF(Rechner!$E$4&lt;&gt;"ok","",IF(Rechner!$E$5+251&lt;=Rechner!$B$6,Rechner!$E$5+251,""))</f>
        <v/>
      </c>
      <c r="B253">
        <f>IF(A253="","",LOOKUP(A253,Basiszins!$A$5:$A$18,Basiszins!$B$5:$B$18))</f>
        <v/>
      </c>
      <c r="C253">
        <f>IF(A253="","",B253+Rechner!$E$7)</f>
        <v/>
      </c>
      <c r="D253">
        <f>J252</f>
        <v/>
      </c>
      <c r="E253">
        <f>IF(A253="",0,D253*C253/100/(DATE(YEAR(A253)+1,1,1)-DATE(YEAR(A253),1,1)))</f>
        <v/>
      </c>
      <c r="F253">
        <f>IF(A253="",0,SUMIF(Rechner!$A$12:$A$21,A253,Rechner!$B$12:$B$21))</f>
        <v/>
      </c>
      <c r="G253">
        <f>H252+E253</f>
        <v/>
      </c>
      <c r="H253">
        <f>G253-MIN(F253,G253)</f>
        <v/>
      </c>
      <c r="I253">
        <f>MIN(F253-MIN(F253,G253),D253)</f>
        <v/>
      </c>
      <c r="J253">
        <f>D253-I253</f>
        <v/>
      </c>
      <c r="K253">
        <f>F253-MIN(F253,G253)-I253</f>
        <v/>
      </c>
    </row>
    <row r="254">
      <c r="A254" s="21">
        <f>IF(Rechner!$E$4&lt;&gt;"ok","",IF(Rechner!$E$5+252&lt;=Rechner!$B$6,Rechner!$E$5+252,""))</f>
        <v/>
      </c>
      <c r="B254">
        <f>IF(A254="","",LOOKUP(A254,Basiszins!$A$5:$A$18,Basiszins!$B$5:$B$18))</f>
        <v/>
      </c>
      <c r="C254">
        <f>IF(A254="","",B254+Rechner!$E$7)</f>
        <v/>
      </c>
      <c r="D254">
        <f>J253</f>
        <v/>
      </c>
      <c r="E254">
        <f>IF(A254="",0,D254*C254/100/(DATE(YEAR(A254)+1,1,1)-DATE(YEAR(A254),1,1)))</f>
        <v/>
      </c>
      <c r="F254">
        <f>IF(A254="",0,SUMIF(Rechner!$A$12:$A$21,A254,Rechner!$B$12:$B$21))</f>
        <v/>
      </c>
      <c r="G254">
        <f>H253+E254</f>
        <v/>
      </c>
      <c r="H254">
        <f>G254-MIN(F254,G254)</f>
        <v/>
      </c>
      <c r="I254">
        <f>MIN(F254-MIN(F254,G254),D254)</f>
        <v/>
      </c>
      <c r="J254">
        <f>D254-I254</f>
        <v/>
      </c>
      <c r="K254">
        <f>F254-MIN(F254,G254)-I254</f>
        <v/>
      </c>
    </row>
    <row r="255">
      <c r="A255" s="21">
        <f>IF(Rechner!$E$4&lt;&gt;"ok","",IF(Rechner!$E$5+253&lt;=Rechner!$B$6,Rechner!$E$5+253,""))</f>
        <v/>
      </c>
      <c r="B255">
        <f>IF(A255="","",LOOKUP(A255,Basiszins!$A$5:$A$18,Basiszins!$B$5:$B$18))</f>
        <v/>
      </c>
      <c r="C255">
        <f>IF(A255="","",B255+Rechner!$E$7)</f>
        <v/>
      </c>
      <c r="D255">
        <f>J254</f>
        <v/>
      </c>
      <c r="E255">
        <f>IF(A255="",0,D255*C255/100/(DATE(YEAR(A255)+1,1,1)-DATE(YEAR(A255),1,1)))</f>
        <v/>
      </c>
      <c r="F255">
        <f>IF(A255="",0,SUMIF(Rechner!$A$12:$A$21,A255,Rechner!$B$12:$B$21))</f>
        <v/>
      </c>
      <c r="G255">
        <f>H254+E255</f>
        <v/>
      </c>
      <c r="H255">
        <f>G255-MIN(F255,G255)</f>
        <v/>
      </c>
      <c r="I255">
        <f>MIN(F255-MIN(F255,G255),D255)</f>
        <v/>
      </c>
      <c r="J255">
        <f>D255-I255</f>
        <v/>
      </c>
      <c r="K255">
        <f>F255-MIN(F255,G255)-I255</f>
        <v/>
      </c>
    </row>
    <row r="256">
      <c r="A256" s="21">
        <f>IF(Rechner!$E$4&lt;&gt;"ok","",IF(Rechner!$E$5+254&lt;=Rechner!$B$6,Rechner!$E$5+254,""))</f>
        <v/>
      </c>
      <c r="B256">
        <f>IF(A256="","",LOOKUP(A256,Basiszins!$A$5:$A$18,Basiszins!$B$5:$B$18))</f>
        <v/>
      </c>
      <c r="C256">
        <f>IF(A256="","",B256+Rechner!$E$7)</f>
        <v/>
      </c>
      <c r="D256">
        <f>J255</f>
        <v/>
      </c>
      <c r="E256">
        <f>IF(A256="",0,D256*C256/100/(DATE(YEAR(A256)+1,1,1)-DATE(YEAR(A256),1,1)))</f>
        <v/>
      </c>
      <c r="F256">
        <f>IF(A256="",0,SUMIF(Rechner!$A$12:$A$21,A256,Rechner!$B$12:$B$21))</f>
        <v/>
      </c>
      <c r="G256">
        <f>H255+E256</f>
        <v/>
      </c>
      <c r="H256">
        <f>G256-MIN(F256,G256)</f>
        <v/>
      </c>
      <c r="I256">
        <f>MIN(F256-MIN(F256,G256),D256)</f>
        <v/>
      </c>
      <c r="J256">
        <f>D256-I256</f>
        <v/>
      </c>
      <c r="K256">
        <f>F256-MIN(F256,G256)-I256</f>
        <v/>
      </c>
    </row>
    <row r="257">
      <c r="A257" s="21">
        <f>IF(Rechner!$E$4&lt;&gt;"ok","",IF(Rechner!$E$5+255&lt;=Rechner!$B$6,Rechner!$E$5+255,""))</f>
        <v/>
      </c>
      <c r="B257">
        <f>IF(A257="","",LOOKUP(A257,Basiszins!$A$5:$A$18,Basiszins!$B$5:$B$18))</f>
        <v/>
      </c>
      <c r="C257">
        <f>IF(A257="","",B257+Rechner!$E$7)</f>
        <v/>
      </c>
      <c r="D257">
        <f>J256</f>
        <v/>
      </c>
      <c r="E257">
        <f>IF(A257="",0,D257*C257/100/(DATE(YEAR(A257)+1,1,1)-DATE(YEAR(A257),1,1)))</f>
        <v/>
      </c>
      <c r="F257">
        <f>IF(A257="",0,SUMIF(Rechner!$A$12:$A$21,A257,Rechner!$B$12:$B$21))</f>
        <v/>
      </c>
      <c r="G257">
        <f>H256+E257</f>
        <v/>
      </c>
      <c r="H257">
        <f>G257-MIN(F257,G257)</f>
        <v/>
      </c>
      <c r="I257">
        <f>MIN(F257-MIN(F257,G257),D257)</f>
        <v/>
      </c>
      <c r="J257">
        <f>D257-I257</f>
        <v/>
      </c>
      <c r="K257">
        <f>F257-MIN(F257,G257)-I257</f>
        <v/>
      </c>
    </row>
    <row r="258">
      <c r="A258" s="21">
        <f>IF(Rechner!$E$4&lt;&gt;"ok","",IF(Rechner!$E$5+256&lt;=Rechner!$B$6,Rechner!$E$5+256,""))</f>
        <v/>
      </c>
      <c r="B258">
        <f>IF(A258="","",LOOKUP(A258,Basiszins!$A$5:$A$18,Basiszins!$B$5:$B$18))</f>
        <v/>
      </c>
      <c r="C258">
        <f>IF(A258="","",B258+Rechner!$E$7)</f>
        <v/>
      </c>
      <c r="D258">
        <f>J257</f>
        <v/>
      </c>
      <c r="E258">
        <f>IF(A258="",0,D258*C258/100/(DATE(YEAR(A258)+1,1,1)-DATE(YEAR(A258),1,1)))</f>
        <v/>
      </c>
      <c r="F258">
        <f>IF(A258="",0,SUMIF(Rechner!$A$12:$A$21,A258,Rechner!$B$12:$B$21))</f>
        <v/>
      </c>
      <c r="G258">
        <f>H257+E258</f>
        <v/>
      </c>
      <c r="H258">
        <f>G258-MIN(F258,G258)</f>
        <v/>
      </c>
      <c r="I258">
        <f>MIN(F258-MIN(F258,G258),D258)</f>
        <v/>
      </c>
      <c r="J258">
        <f>D258-I258</f>
        <v/>
      </c>
      <c r="K258">
        <f>F258-MIN(F258,G258)-I258</f>
        <v/>
      </c>
    </row>
    <row r="259">
      <c r="A259" s="21">
        <f>IF(Rechner!$E$4&lt;&gt;"ok","",IF(Rechner!$E$5+257&lt;=Rechner!$B$6,Rechner!$E$5+257,""))</f>
        <v/>
      </c>
      <c r="B259">
        <f>IF(A259="","",LOOKUP(A259,Basiszins!$A$5:$A$18,Basiszins!$B$5:$B$18))</f>
        <v/>
      </c>
      <c r="C259">
        <f>IF(A259="","",B259+Rechner!$E$7)</f>
        <v/>
      </c>
      <c r="D259">
        <f>J258</f>
        <v/>
      </c>
      <c r="E259">
        <f>IF(A259="",0,D259*C259/100/(DATE(YEAR(A259)+1,1,1)-DATE(YEAR(A259),1,1)))</f>
        <v/>
      </c>
      <c r="F259">
        <f>IF(A259="",0,SUMIF(Rechner!$A$12:$A$21,A259,Rechner!$B$12:$B$21))</f>
        <v/>
      </c>
      <c r="G259">
        <f>H258+E259</f>
        <v/>
      </c>
      <c r="H259">
        <f>G259-MIN(F259,G259)</f>
        <v/>
      </c>
      <c r="I259">
        <f>MIN(F259-MIN(F259,G259),D259)</f>
        <v/>
      </c>
      <c r="J259">
        <f>D259-I259</f>
        <v/>
      </c>
      <c r="K259">
        <f>F259-MIN(F259,G259)-I259</f>
        <v/>
      </c>
    </row>
    <row r="260">
      <c r="A260" s="21">
        <f>IF(Rechner!$E$4&lt;&gt;"ok","",IF(Rechner!$E$5+258&lt;=Rechner!$B$6,Rechner!$E$5+258,""))</f>
        <v/>
      </c>
      <c r="B260">
        <f>IF(A260="","",LOOKUP(A260,Basiszins!$A$5:$A$18,Basiszins!$B$5:$B$18))</f>
        <v/>
      </c>
      <c r="C260">
        <f>IF(A260="","",B260+Rechner!$E$7)</f>
        <v/>
      </c>
      <c r="D260">
        <f>J259</f>
        <v/>
      </c>
      <c r="E260">
        <f>IF(A260="",0,D260*C260/100/(DATE(YEAR(A260)+1,1,1)-DATE(YEAR(A260),1,1)))</f>
        <v/>
      </c>
      <c r="F260">
        <f>IF(A260="",0,SUMIF(Rechner!$A$12:$A$21,A260,Rechner!$B$12:$B$21))</f>
        <v/>
      </c>
      <c r="G260">
        <f>H259+E260</f>
        <v/>
      </c>
      <c r="H260">
        <f>G260-MIN(F260,G260)</f>
        <v/>
      </c>
      <c r="I260">
        <f>MIN(F260-MIN(F260,G260),D260)</f>
        <v/>
      </c>
      <c r="J260">
        <f>D260-I260</f>
        <v/>
      </c>
      <c r="K260">
        <f>F260-MIN(F260,G260)-I260</f>
        <v/>
      </c>
    </row>
    <row r="261">
      <c r="A261" s="21">
        <f>IF(Rechner!$E$4&lt;&gt;"ok","",IF(Rechner!$E$5+259&lt;=Rechner!$B$6,Rechner!$E$5+259,""))</f>
        <v/>
      </c>
      <c r="B261">
        <f>IF(A261="","",LOOKUP(A261,Basiszins!$A$5:$A$18,Basiszins!$B$5:$B$18))</f>
        <v/>
      </c>
      <c r="C261">
        <f>IF(A261="","",B261+Rechner!$E$7)</f>
        <v/>
      </c>
      <c r="D261">
        <f>J260</f>
        <v/>
      </c>
      <c r="E261">
        <f>IF(A261="",0,D261*C261/100/(DATE(YEAR(A261)+1,1,1)-DATE(YEAR(A261),1,1)))</f>
        <v/>
      </c>
      <c r="F261">
        <f>IF(A261="",0,SUMIF(Rechner!$A$12:$A$21,A261,Rechner!$B$12:$B$21))</f>
        <v/>
      </c>
      <c r="G261">
        <f>H260+E261</f>
        <v/>
      </c>
      <c r="H261">
        <f>G261-MIN(F261,G261)</f>
        <v/>
      </c>
      <c r="I261">
        <f>MIN(F261-MIN(F261,G261),D261)</f>
        <v/>
      </c>
      <c r="J261">
        <f>D261-I261</f>
        <v/>
      </c>
      <c r="K261">
        <f>F261-MIN(F261,G261)-I261</f>
        <v/>
      </c>
    </row>
    <row r="262">
      <c r="A262" s="21">
        <f>IF(Rechner!$E$4&lt;&gt;"ok","",IF(Rechner!$E$5+260&lt;=Rechner!$B$6,Rechner!$E$5+260,""))</f>
        <v/>
      </c>
      <c r="B262">
        <f>IF(A262="","",LOOKUP(A262,Basiszins!$A$5:$A$18,Basiszins!$B$5:$B$18))</f>
        <v/>
      </c>
      <c r="C262">
        <f>IF(A262="","",B262+Rechner!$E$7)</f>
        <v/>
      </c>
      <c r="D262">
        <f>J261</f>
        <v/>
      </c>
      <c r="E262">
        <f>IF(A262="",0,D262*C262/100/(DATE(YEAR(A262)+1,1,1)-DATE(YEAR(A262),1,1)))</f>
        <v/>
      </c>
      <c r="F262">
        <f>IF(A262="",0,SUMIF(Rechner!$A$12:$A$21,A262,Rechner!$B$12:$B$21))</f>
        <v/>
      </c>
      <c r="G262">
        <f>H261+E262</f>
        <v/>
      </c>
      <c r="H262">
        <f>G262-MIN(F262,G262)</f>
        <v/>
      </c>
      <c r="I262">
        <f>MIN(F262-MIN(F262,G262),D262)</f>
        <v/>
      </c>
      <c r="J262">
        <f>D262-I262</f>
        <v/>
      </c>
      <c r="K262">
        <f>F262-MIN(F262,G262)-I262</f>
        <v/>
      </c>
    </row>
    <row r="263">
      <c r="A263" s="21">
        <f>IF(Rechner!$E$4&lt;&gt;"ok","",IF(Rechner!$E$5+261&lt;=Rechner!$B$6,Rechner!$E$5+261,""))</f>
        <v/>
      </c>
      <c r="B263">
        <f>IF(A263="","",LOOKUP(A263,Basiszins!$A$5:$A$18,Basiszins!$B$5:$B$18))</f>
        <v/>
      </c>
      <c r="C263">
        <f>IF(A263="","",B263+Rechner!$E$7)</f>
        <v/>
      </c>
      <c r="D263">
        <f>J262</f>
        <v/>
      </c>
      <c r="E263">
        <f>IF(A263="",0,D263*C263/100/(DATE(YEAR(A263)+1,1,1)-DATE(YEAR(A263),1,1)))</f>
        <v/>
      </c>
      <c r="F263">
        <f>IF(A263="",0,SUMIF(Rechner!$A$12:$A$21,A263,Rechner!$B$12:$B$21))</f>
        <v/>
      </c>
      <c r="G263">
        <f>H262+E263</f>
        <v/>
      </c>
      <c r="H263">
        <f>G263-MIN(F263,G263)</f>
        <v/>
      </c>
      <c r="I263">
        <f>MIN(F263-MIN(F263,G263),D263)</f>
        <v/>
      </c>
      <c r="J263">
        <f>D263-I263</f>
        <v/>
      </c>
      <c r="K263">
        <f>F263-MIN(F263,G263)-I263</f>
        <v/>
      </c>
    </row>
    <row r="264">
      <c r="A264" s="21">
        <f>IF(Rechner!$E$4&lt;&gt;"ok","",IF(Rechner!$E$5+262&lt;=Rechner!$B$6,Rechner!$E$5+262,""))</f>
        <v/>
      </c>
      <c r="B264">
        <f>IF(A264="","",LOOKUP(A264,Basiszins!$A$5:$A$18,Basiszins!$B$5:$B$18))</f>
        <v/>
      </c>
      <c r="C264">
        <f>IF(A264="","",B264+Rechner!$E$7)</f>
        <v/>
      </c>
      <c r="D264">
        <f>J263</f>
        <v/>
      </c>
      <c r="E264">
        <f>IF(A264="",0,D264*C264/100/(DATE(YEAR(A264)+1,1,1)-DATE(YEAR(A264),1,1)))</f>
        <v/>
      </c>
      <c r="F264">
        <f>IF(A264="",0,SUMIF(Rechner!$A$12:$A$21,A264,Rechner!$B$12:$B$21))</f>
        <v/>
      </c>
      <c r="G264">
        <f>H263+E264</f>
        <v/>
      </c>
      <c r="H264">
        <f>G264-MIN(F264,G264)</f>
        <v/>
      </c>
      <c r="I264">
        <f>MIN(F264-MIN(F264,G264),D264)</f>
        <v/>
      </c>
      <c r="J264">
        <f>D264-I264</f>
        <v/>
      </c>
      <c r="K264">
        <f>F264-MIN(F264,G264)-I264</f>
        <v/>
      </c>
    </row>
    <row r="265">
      <c r="A265" s="21">
        <f>IF(Rechner!$E$4&lt;&gt;"ok","",IF(Rechner!$E$5+263&lt;=Rechner!$B$6,Rechner!$E$5+263,""))</f>
        <v/>
      </c>
      <c r="B265">
        <f>IF(A265="","",LOOKUP(A265,Basiszins!$A$5:$A$18,Basiszins!$B$5:$B$18))</f>
        <v/>
      </c>
      <c r="C265">
        <f>IF(A265="","",B265+Rechner!$E$7)</f>
        <v/>
      </c>
      <c r="D265">
        <f>J264</f>
        <v/>
      </c>
      <c r="E265">
        <f>IF(A265="",0,D265*C265/100/(DATE(YEAR(A265)+1,1,1)-DATE(YEAR(A265),1,1)))</f>
        <v/>
      </c>
      <c r="F265">
        <f>IF(A265="",0,SUMIF(Rechner!$A$12:$A$21,A265,Rechner!$B$12:$B$21))</f>
        <v/>
      </c>
      <c r="G265">
        <f>H264+E265</f>
        <v/>
      </c>
      <c r="H265">
        <f>G265-MIN(F265,G265)</f>
        <v/>
      </c>
      <c r="I265">
        <f>MIN(F265-MIN(F265,G265),D265)</f>
        <v/>
      </c>
      <c r="J265">
        <f>D265-I265</f>
        <v/>
      </c>
      <c r="K265">
        <f>F265-MIN(F265,G265)-I265</f>
        <v/>
      </c>
    </row>
    <row r="266">
      <c r="A266" s="21">
        <f>IF(Rechner!$E$4&lt;&gt;"ok","",IF(Rechner!$E$5+264&lt;=Rechner!$B$6,Rechner!$E$5+264,""))</f>
        <v/>
      </c>
      <c r="B266">
        <f>IF(A266="","",LOOKUP(A266,Basiszins!$A$5:$A$18,Basiszins!$B$5:$B$18))</f>
        <v/>
      </c>
      <c r="C266">
        <f>IF(A266="","",B266+Rechner!$E$7)</f>
        <v/>
      </c>
      <c r="D266">
        <f>J265</f>
        <v/>
      </c>
      <c r="E266">
        <f>IF(A266="",0,D266*C266/100/(DATE(YEAR(A266)+1,1,1)-DATE(YEAR(A266),1,1)))</f>
        <v/>
      </c>
      <c r="F266">
        <f>IF(A266="",0,SUMIF(Rechner!$A$12:$A$21,A266,Rechner!$B$12:$B$21))</f>
        <v/>
      </c>
      <c r="G266">
        <f>H265+E266</f>
        <v/>
      </c>
      <c r="H266">
        <f>G266-MIN(F266,G266)</f>
        <v/>
      </c>
      <c r="I266">
        <f>MIN(F266-MIN(F266,G266),D266)</f>
        <v/>
      </c>
      <c r="J266">
        <f>D266-I266</f>
        <v/>
      </c>
      <c r="K266">
        <f>F266-MIN(F266,G266)-I266</f>
        <v/>
      </c>
    </row>
    <row r="267">
      <c r="A267" s="21">
        <f>IF(Rechner!$E$4&lt;&gt;"ok","",IF(Rechner!$E$5+265&lt;=Rechner!$B$6,Rechner!$E$5+265,""))</f>
        <v/>
      </c>
      <c r="B267">
        <f>IF(A267="","",LOOKUP(A267,Basiszins!$A$5:$A$18,Basiszins!$B$5:$B$18))</f>
        <v/>
      </c>
      <c r="C267">
        <f>IF(A267="","",B267+Rechner!$E$7)</f>
        <v/>
      </c>
      <c r="D267">
        <f>J266</f>
        <v/>
      </c>
      <c r="E267">
        <f>IF(A267="",0,D267*C267/100/(DATE(YEAR(A267)+1,1,1)-DATE(YEAR(A267),1,1)))</f>
        <v/>
      </c>
      <c r="F267">
        <f>IF(A267="",0,SUMIF(Rechner!$A$12:$A$21,A267,Rechner!$B$12:$B$21))</f>
        <v/>
      </c>
      <c r="G267">
        <f>H266+E267</f>
        <v/>
      </c>
      <c r="H267">
        <f>G267-MIN(F267,G267)</f>
        <v/>
      </c>
      <c r="I267">
        <f>MIN(F267-MIN(F267,G267),D267)</f>
        <v/>
      </c>
      <c r="J267">
        <f>D267-I267</f>
        <v/>
      </c>
      <c r="K267">
        <f>F267-MIN(F267,G267)-I267</f>
        <v/>
      </c>
    </row>
    <row r="268">
      <c r="A268" s="21">
        <f>IF(Rechner!$E$4&lt;&gt;"ok","",IF(Rechner!$E$5+266&lt;=Rechner!$B$6,Rechner!$E$5+266,""))</f>
        <v/>
      </c>
      <c r="B268">
        <f>IF(A268="","",LOOKUP(A268,Basiszins!$A$5:$A$18,Basiszins!$B$5:$B$18))</f>
        <v/>
      </c>
      <c r="C268">
        <f>IF(A268="","",B268+Rechner!$E$7)</f>
        <v/>
      </c>
      <c r="D268">
        <f>J267</f>
        <v/>
      </c>
      <c r="E268">
        <f>IF(A268="",0,D268*C268/100/(DATE(YEAR(A268)+1,1,1)-DATE(YEAR(A268),1,1)))</f>
        <v/>
      </c>
      <c r="F268">
        <f>IF(A268="",0,SUMIF(Rechner!$A$12:$A$21,A268,Rechner!$B$12:$B$21))</f>
        <v/>
      </c>
      <c r="G268">
        <f>H267+E268</f>
        <v/>
      </c>
      <c r="H268">
        <f>G268-MIN(F268,G268)</f>
        <v/>
      </c>
      <c r="I268">
        <f>MIN(F268-MIN(F268,G268),D268)</f>
        <v/>
      </c>
      <c r="J268">
        <f>D268-I268</f>
        <v/>
      </c>
      <c r="K268">
        <f>F268-MIN(F268,G268)-I268</f>
        <v/>
      </c>
    </row>
    <row r="269">
      <c r="A269" s="21">
        <f>IF(Rechner!$E$4&lt;&gt;"ok","",IF(Rechner!$E$5+267&lt;=Rechner!$B$6,Rechner!$E$5+267,""))</f>
        <v/>
      </c>
      <c r="B269">
        <f>IF(A269="","",LOOKUP(A269,Basiszins!$A$5:$A$18,Basiszins!$B$5:$B$18))</f>
        <v/>
      </c>
      <c r="C269">
        <f>IF(A269="","",B269+Rechner!$E$7)</f>
        <v/>
      </c>
      <c r="D269">
        <f>J268</f>
        <v/>
      </c>
      <c r="E269">
        <f>IF(A269="",0,D269*C269/100/(DATE(YEAR(A269)+1,1,1)-DATE(YEAR(A269),1,1)))</f>
        <v/>
      </c>
      <c r="F269">
        <f>IF(A269="",0,SUMIF(Rechner!$A$12:$A$21,A269,Rechner!$B$12:$B$21))</f>
        <v/>
      </c>
      <c r="G269">
        <f>H268+E269</f>
        <v/>
      </c>
      <c r="H269">
        <f>G269-MIN(F269,G269)</f>
        <v/>
      </c>
      <c r="I269">
        <f>MIN(F269-MIN(F269,G269),D269)</f>
        <v/>
      </c>
      <c r="J269">
        <f>D269-I269</f>
        <v/>
      </c>
      <c r="K269">
        <f>F269-MIN(F269,G269)-I269</f>
        <v/>
      </c>
    </row>
    <row r="270">
      <c r="A270" s="21">
        <f>IF(Rechner!$E$4&lt;&gt;"ok","",IF(Rechner!$E$5+268&lt;=Rechner!$B$6,Rechner!$E$5+268,""))</f>
        <v/>
      </c>
      <c r="B270">
        <f>IF(A270="","",LOOKUP(A270,Basiszins!$A$5:$A$18,Basiszins!$B$5:$B$18))</f>
        <v/>
      </c>
      <c r="C270">
        <f>IF(A270="","",B270+Rechner!$E$7)</f>
        <v/>
      </c>
      <c r="D270">
        <f>J269</f>
        <v/>
      </c>
      <c r="E270">
        <f>IF(A270="",0,D270*C270/100/(DATE(YEAR(A270)+1,1,1)-DATE(YEAR(A270),1,1)))</f>
        <v/>
      </c>
      <c r="F270">
        <f>IF(A270="",0,SUMIF(Rechner!$A$12:$A$21,A270,Rechner!$B$12:$B$21))</f>
        <v/>
      </c>
      <c r="G270">
        <f>H269+E270</f>
        <v/>
      </c>
      <c r="H270">
        <f>G270-MIN(F270,G270)</f>
        <v/>
      </c>
      <c r="I270">
        <f>MIN(F270-MIN(F270,G270),D270)</f>
        <v/>
      </c>
      <c r="J270">
        <f>D270-I270</f>
        <v/>
      </c>
      <c r="K270">
        <f>F270-MIN(F270,G270)-I270</f>
        <v/>
      </c>
    </row>
    <row r="271">
      <c r="A271" s="21">
        <f>IF(Rechner!$E$4&lt;&gt;"ok","",IF(Rechner!$E$5+269&lt;=Rechner!$B$6,Rechner!$E$5+269,""))</f>
        <v/>
      </c>
      <c r="B271">
        <f>IF(A271="","",LOOKUP(A271,Basiszins!$A$5:$A$18,Basiszins!$B$5:$B$18))</f>
        <v/>
      </c>
      <c r="C271">
        <f>IF(A271="","",B271+Rechner!$E$7)</f>
        <v/>
      </c>
      <c r="D271">
        <f>J270</f>
        <v/>
      </c>
      <c r="E271">
        <f>IF(A271="",0,D271*C271/100/(DATE(YEAR(A271)+1,1,1)-DATE(YEAR(A271),1,1)))</f>
        <v/>
      </c>
      <c r="F271">
        <f>IF(A271="",0,SUMIF(Rechner!$A$12:$A$21,A271,Rechner!$B$12:$B$21))</f>
        <v/>
      </c>
      <c r="G271">
        <f>H270+E271</f>
        <v/>
      </c>
      <c r="H271">
        <f>G271-MIN(F271,G271)</f>
        <v/>
      </c>
      <c r="I271">
        <f>MIN(F271-MIN(F271,G271),D271)</f>
        <v/>
      </c>
      <c r="J271">
        <f>D271-I271</f>
        <v/>
      </c>
      <c r="K271">
        <f>F271-MIN(F271,G271)-I271</f>
        <v/>
      </c>
    </row>
    <row r="272">
      <c r="A272" s="21">
        <f>IF(Rechner!$E$4&lt;&gt;"ok","",IF(Rechner!$E$5+270&lt;=Rechner!$B$6,Rechner!$E$5+270,""))</f>
        <v/>
      </c>
      <c r="B272">
        <f>IF(A272="","",LOOKUP(A272,Basiszins!$A$5:$A$18,Basiszins!$B$5:$B$18))</f>
        <v/>
      </c>
      <c r="C272">
        <f>IF(A272="","",B272+Rechner!$E$7)</f>
        <v/>
      </c>
      <c r="D272">
        <f>J271</f>
        <v/>
      </c>
      <c r="E272">
        <f>IF(A272="",0,D272*C272/100/(DATE(YEAR(A272)+1,1,1)-DATE(YEAR(A272),1,1)))</f>
        <v/>
      </c>
      <c r="F272">
        <f>IF(A272="",0,SUMIF(Rechner!$A$12:$A$21,A272,Rechner!$B$12:$B$21))</f>
        <v/>
      </c>
      <c r="G272">
        <f>H271+E272</f>
        <v/>
      </c>
      <c r="H272">
        <f>G272-MIN(F272,G272)</f>
        <v/>
      </c>
      <c r="I272">
        <f>MIN(F272-MIN(F272,G272),D272)</f>
        <v/>
      </c>
      <c r="J272">
        <f>D272-I272</f>
        <v/>
      </c>
      <c r="K272">
        <f>F272-MIN(F272,G272)-I272</f>
        <v/>
      </c>
    </row>
    <row r="273">
      <c r="A273" s="21">
        <f>IF(Rechner!$E$4&lt;&gt;"ok","",IF(Rechner!$E$5+271&lt;=Rechner!$B$6,Rechner!$E$5+271,""))</f>
        <v/>
      </c>
      <c r="B273">
        <f>IF(A273="","",LOOKUP(A273,Basiszins!$A$5:$A$18,Basiszins!$B$5:$B$18))</f>
        <v/>
      </c>
      <c r="C273">
        <f>IF(A273="","",B273+Rechner!$E$7)</f>
        <v/>
      </c>
      <c r="D273">
        <f>J272</f>
        <v/>
      </c>
      <c r="E273">
        <f>IF(A273="",0,D273*C273/100/(DATE(YEAR(A273)+1,1,1)-DATE(YEAR(A273),1,1)))</f>
        <v/>
      </c>
      <c r="F273">
        <f>IF(A273="",0,SUMIF(Rechner!$A$12:$A$21,A273,Rechner!$B$12:$B$21))</f>
        <v/>
      </c>
      <c r="G273">
        <f>H272+E273</f>
        <v/>
      </c>
      <c r="H273">
        <f>G273-MIN(F273,G273)</f>
        <v/>
      </c>
      <c r="I273">
        <f>MIN(F273-MIN(F273,G273),D273)</f>
        <v/>
      </c>
      <c r="J273">
        <f>D273-I273</f>
        <v/>
      </c>
      <c r="K273">
        <f>F273-MIN(F273,G273)-I273</f>
        <v/>
      </c>
    </row>
    <row r="274">
      <c r="A274" s="21">
        <f>IF(Rechner!$E$4&lt;&gt;"ok","",IF(Rechner!$E$5+272&lt;=Rechner!$B$6,Rechner!$E$5+272,""))</f>
        <v/>
      </c>
      <c r="B274">
        <f>IF(A274="","",LOOKUP(A274,Basiszins!$A$5:$A$18,Basiszins!$B$5:$B$18))</f>
        <v/>
      </c>
      <c r="C274">
        <f>IF(A274="","",B274+Rechner!$E$7)</f>
        <v/>
      </c>
      <c r="D274">
        <f>J273</f>
        <v/>
      </c>
      <c r="E274">
        <f>IF(A274="",0,D274*C274/100/(DATE(YEAR(A274)+1,1,1)-DATE(YEAR(A274),1,1)))</f>
        <v/>
      </c>
      <c r="F274">
        <f>IF(A274="",0,SUMIF(Rechner!$A$12:$A$21,A274,Rechner!$B$12:$B$21))</f>
        <v/>
      </c>
      <c r="G274">
        <f>H273+E274</f>
        <v/>
      </c>
      <c r="H274">
        <f>G274-MIN(F274,G274)</f>
        <v/>
      </c>
      <c r="I274">
        <f>MIN(F274-MIN(F274,G274),D274)</f>
        <v/>
      </c>
      <c r="J274">
        <f>D274-I274</f>
        <v/>
      </c>
      <c r="K274">
        <f>F274-MIN(F274,G274)-I274</f>
        <v/>
      </c>
    </row>
    <row r="275">
      <c r="A275" s="21">
        <f>IF(Rechner!$E$4&lt;&gt;"ok","",IF(Rechner!$E$5+273&lt;=Rechner!$B$6,Rechner!$E$5+273,""))</f>
        <v/>
      </c>
      <c r="B275">
        <f>IF(A275="","",LOOKUP(A275,Basiszins!$A$5:$A$18,Basiszins!$B$5:$B$18))</f>
        <v/>
      </c>
      <c r="C275">
        <f>IF(A275="","",B275+Rechner!$E$7)</f>
        <v/>
      </c>
      <c r="D275">
        <f>J274</f>
        <v/>
      </c>
      <c r="E275">
        <f>IF(A275="",0,D275*C275/100/(DATE(YEAR(A275)+1,1,1)-DATE(YEAR(A275),1,1)))</f>
        <v/>
      </c>
      <c r="F275">
        <f>IF(A275="",0,SUMIF(Rechner!$A$12:$A$21,A275,Rechner!$B$12:$B$21))</f>
        <v/>
      </c>
      <c r="G275">
        <f>H274+E275</f>
        <v/>
      </c>
      <c r="H275">
        <f>G275-MIN(F275,G275)</f>
        <v/>
      </c>
      <c r="I275">
        <f>MIN(F275-MIN(F275,G275),D275)</f>
        <v/>
      </c>
      <c r="J275">
        <f>D275-I275</f>
        <v/>
      </c>
      <c r="K275">
        <f>F275-MIN(F275,G275)-I275</f>
        <v/>
      </c>
    </row>
    <row r="276">
      <c r="A276" s="21">
        <f>IF(Rechner!$E$4&lt;&gt;"ok","",IF(Rechner!$E$5+274&lt;=Rechner!$B$6,Rechner!$E$5+274,""))</f>
        <v/>
      </c>
      <c r="B276">
        <f>IF(A276="","",LOOKUP(A276,Basiszins!$A$5:$A$18,Basiszins!$B$5:$B$18))</f>
        <v/>
      </c>
      <c r="C276">
        <f>IF(A276="","",B276+Rechner!$E$7)</f>
        <v/>
      </c>
      <c r="D276">
        <f>J275</f>
        <v/>
      </c>
      <c r="E276">
        <f>IF(A276="",0,D276*C276/100/(DATE(YEAR(A276)+1,1,1)-DATE(YEAR(A276),1,1)))</f>
        <v/>
      </c>
      <c r="F276">
        <f>IF(A276="",0,SUMIF(Rechner!$A$12:$A$21,A276,Rechner!$B$12:$B$21))</f>
        <v/>
      </c>
      <c r="G276">
        <f>H275+E276</f>
        <v/>
      </c>
      <c r="H276">
        <f>G276-MIN(F276,G276)</f>
        <v/>
      </c>
      <c r="I276">
        <f>MIN(F276-MIN(F276,G276),D276)</f>
        <v/>
      </c>
      <c r="J276">
        <f>D276-I276</f>
        <v/>
      </c>
      <c r="K276">
        <f>F276-MIN(F276,G276)-I276</f>
        <v/>
      </c>
    </row>
    <row r="277">
      <c r="A277" s="21">
        <f>IF(Rechner!$E$4&lt;&gt;"ok","",IF(Rechner!$E$5+275&lt;=Rechner!$B$6,Rechner!$E$5+275,""))</f>
        <v/>
      </c>
      <c r="B277">
        <f>IF(A277="","",LOOKUP(A277,Basiszins!$A$5:$A$18,Basiszins!$B$5:$B$18))</f>
        <v/>
      </c>
      <c r="C277">
        <f>IF(A277="","",B277+Rechner!$E$7)</f>
        <v/>
      </c>
      <c r="D277">
        <f>J276</f>
        <v/>
      </c>
      <c r="E277">
        <f>IF(A277="",0,D277*C277/100/(DATE(YEAR(A277)+1,1,1)-DATE(YEAR(A277),1,1)))</f>
        <v/>
      </c>
      <c r="F277">
        <f>IF(A277="",0,SUMIF(Rechner!$A$12:$A$21,A277,Rechner!$B$12:$B$21))</f>
        <v/>
      </c>
      <c r="G277">
        <f>H276+E277</f>
        <v/>
      </c>
      <c r="H277">
        <f>G277-MIN(F277,G277)</f>
        <v/>
      </c>
      <c r="I277">
        <f>MIN(F277-MIN(F277,G277),D277)</f>
        <v/>
      </c>
      <c r="J277">
        <f>D277-I277</f>
        <v/>
      </c>
      <c r="K277">
        <f>F277-MIN(F277,G277)-I277</f>
        <v/>
      </c>
    </row>
    <row r="278">
      <c r="A278" s="21">
        <f>IF(Rechner!$E$4&lt;&gt;"ok","",IF(Rechner!$E$5+276&lt;=Rechner!$B$6,Rechner!$E$5+276,""))</f>
        <v/>
      </c>
      <c r="B278">
        <f>IF(A278="","",LOOKUP(A278,Basiszins!$A$5:$A$18,Basiszins!$B$5:$B$18))</f>
        <v/>
      </c>
      <c r="C278">
        <f>IF(A278="","",B278+Rechner!$E$7)</f>
        <v/>
      </c>
      <c r="D278">
        <f>J277</f>
        <v/>
      </c>
      <c r="E278">
        <f>IF(A278="",0,D278*C278/100/(DATE(YEAR(A278)+1,1,1)-DATE(YEAR(A278),1,1)))</f>
        <v/>
      </c>
      <c r="F278">
        <f>IF(A278="",0,SUMIF(Rechner!$A$12:$A$21,A278,Rechner!$B$12:$B$21))</f>
        <v/>
      </c>
      <c r="G278">
        <f>H277+E278</f>
        <v/>
      </c>
      <c r="H278">
        <f>G278-MIN(F278,G278)</f>
        <v/>
      </c>
      <c r="I278">
        <f>MIN(F278-MIN(F278,G278),D278)</f>
        <v/>
      </c>
      <c r="J278">
        <f>D278-I278</f>
        <v/>
      </c>
      <c r="K278">
        <f>F278-MIN(F278,G278)-I278</f>
        <v/>
      </c>
    </row>
    <row r="279">
      <c r="A279" s="21">
        <f>IF(Rechner!$E$4&lt;&gt;"ok","",IF(Rechner!$E$5+277&lt;=Rechner!$B$6,Rechner!$E$5+277,""))</f>
        <v/>
      </c>
      <c r="B279">
        <f>IF(A279="","",LOOKUP(A279,Basiszins!$A$5:$A$18,Basiszins!$B$5:$B$18))</f>
        <v/>
      </c>
      <c r="C279">
        <f>IF(A279="","",B279+Rechner!$E$7)</f>
        <v/>
      </c>
      <c r="D279">
        <f>J278</f>
        <v/>
      </c>
      <c r="E279">
        <f>IF(A279="",0,D279*C279/100/(DATE(YEAR(A279)+1,1,1)-DATE(YEAR(A279),1,1)))</f>
        <v/>
      </c>
      <c r="F279">
        <f>IF(A279="",0,SUMIF(Rechner!$A$12:$A$21,A279,Rechner!$B$12:$B$21))</f>
        <v/>
      </c>
      <c r="G279">
        <f>H278+E279</f>
        <v/>
      </c>
      <c r="H279">
        <f>G279-MIN(F279,G279)</f>
        <v/>
      </c>
      <c r="I279">
        <f>MIN(F279-MIN(F279,G279),D279)</f>
        <v/>
      </c>
      <c r="J279">
        <f>D279-I279</f>
        <v/>
      </c>
      <c r="K279">
        <f>F279-MIN(F279,G279)-I279</f>
        <v/>
      </c>
    </row>
    <row r="280">
      <c r="A280" s="21">
        <f>IF(Rechner!$E$4&lt;&gt;"ok","",IF(Rechner!$E$5+278&lt;=Rechner!$B$6,Rechner!$E$5+278,""))</f>
        <v/>
      </c>
      <c r="B280">
        <f>IF(A280="","",LOOKUP(A280,Basiszins!$A$5:$A$18,Basiszins!$B$5:$B$18))</f>
        <v/>
      </c>
      <c r="C280">
        <f>IF(A280="","",B280+Rechner!$E$7)</f>
        <v/>
      </c>
      <c r="D280">
        <f>J279</f>
        <v/>
      </c>
      <c r="E280">
        <f>IF(A280="",0,D280*C280/100/(DATE(YEAR(A280)+1,1,1)-DATE(YEAR(A280),1,1)))</f>
        <v/>
      </c>
      <c r="F280">
        <f>IF(A280="",0,SUMIF(Rechner!$A$12:$A$21,A280,Rechner!$B$12:$B$21))</f>
        <v/>
      </c>
      <c r="G280">
        <f>H279+E280</f>
        <v/>
      </c>
      <c r="H280">
        <f>G280-MIN(F280,G280)</f>
        <v/>
      </c>
      <c r="I280">
        <f>MIN(F280-MIN(F280,G280),D280)</f>
        <v/>
      </c>
      <c r="J280">
        <f>D280-I280</f>
        <v/>
      </c>
      <c r="K280">
        <f>F280-MIN(F280,G280)-I280</f>
        <v/>
      </c>
    </row>
    <row r="281">
      <c r="A281" s="21">
        <f>IF(Rechner!$E$4&lt;&gt;"ok","",IF(Rechner!$E$5+279&lt;=Rechner!$B$6,Rechner!$E$5+279,""))</f>
        <v/>
      </c>
      <c r="B281">
        <f>IF(A281="","",LOOKUP(A281,Basiszins!$A$5:$A$18,Basiszins!$B$5:$B$18))</f>
        <v/>
      </c>
      <c r="C281">
        <f>IF(A281="","",B281+Rechner!$E$7)</f>
        <v/>
      </c>
      <c r="D281">
        <f>J280</f>
        <v/>
      </c>
      <c r="E281">
        <f>IF(A281="",0,D281*C281/100/(DATE(YEAR(A281)+1,1,1)-DATE(YEAR(A281),1,1)))</f>
        <v/>
      </c>
      <c r="F281">
        <f>IF(A281="",0,SUMIF(Rechner!$A$12:$A$21,A281,Rechner!$B$12:$B$21))</f>
        <v/>
      </c>
      <c r="G281">
        <f>H280+E281</f>
        <v/>
      </c>
      <c r="H281">
        <f>G281-MIN(F281,G281)</f>
        <v/>
      </c>
      <c r="I281">
        <f>MIN(F281-MIN(F281,G281),D281)</f>
        <v/>
      </c>
      <c r="J281">
        <f>D281-I281</f>
        <v/>
      </c>
      <c r="K281">
        <f>F281-MIN(F281,G281)-I281</f>
        <v/>
      </c>
    </row>
    <row r="282">
      <c r="A282" s="21">
        <f>IF(Rechner!$E$4&lt;&gt;"ok","",IF(Rechner!$E$5+280&lt;=Rechner!$B$6,Rechner!$E$5+280,""))</f>
        <v/>
      </c>
      <c r="B282">
        <f>IF(A282="","",LOOKUP(A282,Basiszins!$A$5:$A$18,Basiszins!$B$5:$B$18))</f>
        <v/>
      </c>
      <c r="C282">
        <f>IF(A282="","",B282+Rechner!$E$7)</f>
        <v/>
      </c>
      <c r="D282">
        <f>J281</f>
        <v/>
      </c>
      <c r="E282">
        <f>IF(A282="",0,D282*C282/100/(DATE(YEAR(A282)+1,1,1)-DATE(YEAR(A282),1,1)))</f>
        <v/>
      </c>
      <c r="F282">
        <f>IF(A282="",0,SUMIF(Rechner!$A$12:$A$21,A282,Rechner!$B$12:$B$21))</f>
        <v/>
      </c>
      <c r="G282">
        <f>H281+E282</f>
        <v/>
      </c>
      <c r="H282">
        <f>G282-MIN(F282,G282)</f>
        <v/>
      </c>
      <c r="I282">
        <f>MIN(F282-MIN(F282,G282),D282)</f>
        <v/>
      </c>
      <c r="J282">
        <f>D282-I282</f>
        <v/>
      </c>
      <c r="K282">
        <f>F282-MIN(F282,G282)-I282</f>
        <v/>
      </c>
    </row>
    <row r="283">
      <c r="A283" s="21">
        <f>IF(Rechner!$E$4&lt;&gt;"ok","",IF(Rechner!$E$5+281&lt;=Rechner!$B$6,Rechner!$E$5+281,""))</f>
        <v/>
      </c>
      <c r="B283">
        <f>IF(A283="","",LOOKUP(A283,Basiszins!$A$5:$A$18,Basiszins!$B$5:$B$18))</f>
        <v/>
      </c>
      <c r="C283">
        <f>IF(A283="","",B283+Rechner!$E$7)</f>
        <v/>
      </c>
      <c r="D283">
        <f>J282</f>
        <v/>
      </c>
      <c r="E283">
        <f>IF(A283="",0,D283*C283/100/(DATE(YEAR(A283)+1,1,1)-DATE(YEAR(A283),1,1)))</f>
        <v/>
      </c>
      <c r="F283">
        <f>IF(A283="",0,SUMIF(Rechner!$A$12:$A$21,A283,Rechner!$B$12:$B$21))</f>
        <v/>
      </c>
      <c r="G283">
        <f>H282+E283</f>
        <v/>
      </c>
      <c r="H283">
        <f>G283-MIN(F283,G283)</f>
        <v/>
      </c>
      <c r="I283">
        <f>MIN(F283-MIN(F283,G283),D283)</f>
        <v/>
      </c>
      <c r="J283">
        <f>D283-I283</f>
        <v/>
      </c>
      <c r="K283">
        <f>F283-MIN(F283,G283)-I283</f>
        <v/>
      </c>
    </row>
    <row r="284">
      <c r="A284" s="21">
        <f>IF(Rechner!$E$4&lt;&gt;"ok","",IF(Rechner!$E$5+282&lt;=Rechner!$B$6,Rechner!$E$5+282,""))</f>
        <v/>
      </c>
      <c r="B284">
        <f>IF(A284="","",LOOKUP(A284,Basiszins!$A$5:$A$18,Basiszins!$B$5:$B$18))</f>
        <v/>
      </c>
      <c r="C284">
        <f>IF(A284="","",B284+Rechner!$E$7)</f>
        <v/>
      </c>
      <c r="D284">
        <f>J283</f>
        <v/>
      </c>
      <c r="E284">
        <f>IF(A284="",0,D284*C284/100/(DATE(YEAR(A284)+1,1,1)-DATE(YEAR(A284),1,1)))</f>
        <v/>
      </c>
      <c r="F284">
        <f>IF(A284="",0,SUMIF(Rechner!$A$12:$A$21,A284,Rechner!$B$12:$B$21))</f>
        <v/>
      </c>
      <c r="G284">
        <f>H283+E284</f>
        <v/>
      </c>
      <c r="H284">
        <f>G284-MIN(F284,G284)</f>
        <v/>
      </c>
      <c r="I284">
        <f>MIN(F284-MIN(F284,G284),D284)</f>
        <v/>
      </c>
      <c r="J284">
        <f>D284-I284</f>
        <v/>
      </c>
      <c r="K284">
        <f>F284-MIN(F284,G284)-I284</f>
        <v/>
      </c>
    </row>
    <row r="285">
      <c r="A285" s="21">
        <f>IF(Rechner!$E$4&lt;&gt;"ok","",IF(Rechner!$E$5+283&lt;=Rechner!$B$6,Rechner!$E$5+283,""))</f>
        <v/>
      </c>
      <c r="B285">
        <f>IF(A285="","",LOOKUP(A285,Basiszins!$A$5:$A$18,Basiszins!$B$5:$B$18))</f>
        <v/>
      </c>
      <c r="C285">
        <f>IF(A285="","",B285+Rechner!$E$7)</f>
        <v/>
      </c>
      <c r="D285">
        <f>J284</f>
        <v/>
      </c>
      <c r="E285">
        <f>IF(A285="",0,D285*C285/100/(DATE(YEAR(A285)+1,1,1)-DATE(YEAR(A285),1,1)))</f>
        <v/>
      </c>
      <c r="F285">
        <f>IF(A285="",0,SUMIF(Rechner!$A$12:$A$21,A285,Rechner!$B$12:$B$21))</f>
        <v/>
      </c>
      <c r="G285">
        <f>H284+E285</f>
        <v/>
      </c>
      <c r="H285">
        <f>G285-MIN(F285,G285)</f>
        <v/>
      </c>
      <c r="I285">
        <f>MIN(F285-MIN(F285,G285),D285)</f>
        <v/>
      </c>
      <c r="J285">
        <f>D285-I285</f>
        <v/>
      </c>
      <c r="K285">
        <f>F285-MIN(F285,G285)-I285</f>
        <v/>
      </c>
    </row>
    <row r="286">
      <c r="A286" s="21">
        <f>IF(Rechner!$E$4&lt;&gt;"ok","",IF(Rechner!$E$5+284&lt;=Rechner!$B$6,Rechner!$E$5+284,""))</f>
        <v/>
      </c>
      <c r="B286">
        <f>IF(A286="","",LOOKUP(A286,Basiszins!$A$5:$A$18,Basiszins!$B$5:$B$18))</f>
        <v/>
      </c>
      <c r="C286">
        <f>IF(A286="","",B286+Rechner!$E$7)</f>
        <v/>
      </c>
      <c r="D286">
        <f>J285</f>
        <v/>
      </c>
      <c r="E286">
        <f>IF(A286="",0,D286*C286/100/(DATE(YEAR(A286)+1,1,1)-DATE(YEAR(A286),1,1)))</f>
        <v/>
      </c>
      <c r="F286">
        <f>IF(A286="",0,SUMIF(Rechner!$A$12:$A$21,A286,Rechner!$B$12:$B$21))</f>
        <v/>
      </c>
      <c r="G286">
        <f>H285+E286</f>
        <v/>
      </c>
      <c r="H286">
        <f>G286-MIN(F286,G286)</f>
        <v/>
      </c>
      <c r="I286">
        <f>MIN(F286-MIN(F286,G286),D286)</f>
        <v/>
      </c>
      <c r="J286">
        <f>D286-I286</f>
        <v/>
      </c>
      <c r="K286">
        <f>F286-MIN(F286,G286)-I286</f>
        <v/>
      </c>
    </row>
    <row r="287">
      <c r="A287" s="21">
        <f>IF(Rechner!$E$4&lt;&gt;"ok","",IF(Rechner!$E$5+285&lt;=Rechner!$B$6,Rechner!$E$5+285,""))</f>
        <v/>
      </c>
      <c r="B287">
        <f>IF(A287="","",LOOKUP(A287,Basiszins!$A$5:$A$18,Basiszins!$B$5:$B$18))</f>
        <v/>
      </c>
      <c r="C287">
        <f>IF(A287="","",B287+Rechner!$E$7)</f>
        <v/>
      </c>
      <c r="D287">
        <f>J286</f>
        <v/>
      </c>
      <c r="E287">
        <f>IF(A287="",0,D287*C287/100/(DATE(YEAR(A287)+1,1,1)-DATE(YEAR(A287),1,1)))</f>
        <v/>
      </c>
      <c r="F287">
        <f>IF(A287="",0,SUMIF(Rechner!$A$12:$A$21,A287,Rechner!$B$12:$B$21))</f>
        <v/>
      </c>
      <c r="G287">
        <f>H286+E287</f>
        <v/>
      </c>
      <c r="H287">
        <f>G287-MIN(F287,G287)</f>
        <v/>
      </c>
      <c r="I287">
        <f>MIN(F287-MIN(F287,G287),D287)</f>
        <v/>
      </c>
      <c r="J287">
        <f>D287-I287</f>
        <v/>
      </c>
      <c r="K287">
        <f>F287-MIN(F287,G287)-I287</f>
        <v/>
      </c>
    </row>
    <row r="288">
      <c r="A288" s="21">
        <f>IF(Rechner!$E$4&lt;&gt;"ok","",IF(Rechner!$E$5+286&lt;=Rechner!$B$6,Rechner!$E$5+286,""))</f>
        <v/>
      </c>
      <c r="B288">
        <f>IF(A288="","",LOOKUP(A288,Basiszins!$A$5:$A$18,Basiszins!$B$5:$B$18))</f>
        <v/>
      </c>
      <c r="C288">
        <f>IF(A288="","",B288+Rechner!$E$7)</f>
        <v/>
      </c>
      <c r="D288">
        <f>J287</f>
        <v/>
      </c>
      <c r="E288">
        <f>IF(A288="",0,D288*C288/100/(DATE(YEAR(A288)+1,1,1)-DATE(YEAR(A288),1,1)))</f>
        <v/>
      </c>
      <c r="F288">
        <f>IF(A288="",0,SUMIF(Rechner!$A$12:$A$21,A288,Rechner!$B$12:$B$21))</f>
        <v/>
      </c>
      <c r="G288">
        <f>H287+E288</f>
        <v/>
      </c>
      <c r="H288">
        <f>G288-MIN(F288,G288)</f>
        <v/>
      </c>
      <c r="I288">
        <f>MIN(F288-MIN(F288,G288),D288)</f>
        <v/>
      </c>
      <c r="J288">
        <f>D288-I288</f>
        <v/>
      </c>
      <c r="K288">
        <f>F288-MIN(F288,G288)-I288</f>
        <v/>
      </c>
    </row>
    <row r="289">
      <c r="A289" s="21">
        <f>IF(Rechner!$E$4&lt;&gt;"ok","",IF(Rechner!$E$5+287&lt;=Rechner!$B$6,Rechner!$E$5+287,""))</f>
        <v/>
      </c>
      <c r="B289">
        <f>IF(A289="","",LOOKUP(A289,Basiszins!$A$5:$A$18,Basiszins!$B$5:$B$18))</f>
        <v/>
      </c>
      <c r="C289">
        <f>IF(A289="","",B289+Rechner!$E$7)</f>
        <v/>
      </c>
      <c r="D289">
        <f>J288</f>
        <v/>
      </c>
      <c r="E289">
        <f>IF(A289="",0,D289*C289/100/(DATE(YEAR(A289)+1,1,1)-DATE(YEAR(A289),1,1)))</f>
        <v/>
      </c>
      <c r="F289">
        <f>IF(A289="",0,SUMIF(Rechner!$A$12:$A$21,A289,Rechner!$B$12:$B$21))</f>
        <v/>
      </c>
      <c r="G289">
        <f>H288+E289</f>
        <v/>
      </c>
      <c r="H289">
        <f>G289-MIN(F289,G289)</f>
        <v/>
      </c>
      <c r="I289">
        <f>MIN(F289-MIN(F289,G289),D289)</f>
        <v/>
      </c>
      <c r="J289">
        <f>D289-I289</f>
        <v/>
      </c>
      <c r="K289">
        <f>F289-MIN(F289,G289)-I289</f>
        <v/>
      </c>
    </row>
    <row r="290">
      <c r="A290" s="21">
        <f>IF(Rechner!$E$4&lt;&gt;"ok","",IF(Rechner!$E$5+288&lt;=Rechner!$B$6,Rechner!$E$5+288,""))</f>
        <v/>
      </c>
      <c r="B290">
        <f>IF(A290="","",LOOKUP(A290,Basiszins!$A$5:$A$18,Basiszins!$B$5:$B$18))</f>
        <v/>
      </c>
      <c r="C290">
        <f>IF(A290="","",B290+Rechner!$E$7)</f>
        <v/>
      </c>
      <c r="D290">
        <f>J289</f>
        <v/>
      </c>
      <c r="E290">
        <f>IF(A290="",0,D290*C290/100/(DATE(YEAR(A290)+1,1,1)-DATE(YEAR(A290),1,1)))</f>
        <v/>
      </c>
      <c r="F290">
        <f>IF(A290="",0,SUMIF(Rechner!$A$12:$A$21,A290,Rechner!$B$12:$B$21))</f>
        <v/>
      </c>
      <c r="G290">
        <f>H289+E290</f>
        <v/>
      </c>
      <c r="H290">
        <f>G290-MIN(F290,G290)</f>
        <v/>
      </c>
      <c r="I290">
        <f>MIN(F290-MIN(F290,G290),D290)</f>
        <v/>
      </c>
      <c r="J290">
        <f>D290-I290</f>
        <v/>
      </c>
      <c r="K290">
        <f>F290-MIN(F290,G290)-I290</f>
        <v/>
      </c>
    </row>
    <row r="291">
      <c r="A291" s="21">
        <f>IF(Rechner!$E$4&lt;&gt;"ok","",IF(Rechner!$E$5+289&lt;=Rechner!$B$6,Rechner!$E$5+289,""))</f>
        <v/>
      </c>
      <c r="B291">
        <f>IF(A291="","",LOOKUP(A291,Basiszins!$A$5:$A$18,Basiszins!$B$5:$B$18))</f>
        <v/>
      </c>
      <c r="C291">
        <f>IF(A291="","",B291+Rechner!$E$7)</f>
        <v/>
      </c>
      <c r="D291">
        <f>J290</f>
        <v/>
      </c>
      <c r="E291">
        <f>IF(A291="",0,D291*C291/100/(DATE(YEAR(A291)+1,1,1)-DATE(YEAR(A291),1,1)))</f>
        <v/>
      </c>
      <c r="F291">
        <f>IF(A291="",0,SUMIF(Rechner!$A$12:$A$21,A291,Rechner!$B$12:$B$21))</f>
        <v/>
      </c>
      <c r="G291">
        <f>H290+E291</f>
        <v/>
      </c>
      <c r="H291">
        <f>G291-MIN(F291,G291)</f>
        <v/>
      </c>
      <c r="I291">
        <f>MIN(F291-MIN(F291,G291),D291)</f>
        <v/>
      </c>
      <c r="J291">
        <f>D291-I291</f>
        <v/>
      </c>
      <c r="K291">
        <f>F291-MIN(F291,G291)-I291</f>
        <v/>
      </c>
    </row>
    <row r="292">
      <c r="A292" s="21">
        <f>IF(Rechner!$E$4&lt;&gt;"ok","",IF(Rechner!$E$5+290&lt;=Rechner!$B$6,Rechner!$E$5+290,""))</f>
        <v/>
      </c>
      <c r="B292">
        <f>IF(A292="","",LOOKUP(A292,Basiszins!$A$5:$A$18,Basiszins!$B$5:$B$18))</f>
        <v/>
      </c>
      <c r="C292">
        <f>IF(A292="","",B292+Rechner!$E$7)</f>
        <v/>
      </c>
      <c r="D292">
        <f>J291</f>
        <v/>
      </c>
      <c r="E292">
        <f>IF(A292="",0,D292*C292/100/(DATE(YEAR(A292)+1,1,1)-DATE(YEAR(A292),1,1)))</f>
        <v/>
      </c>
      <c r="F292">
        <f>IF(A292="",0,SUMIF(Rechner!$A$12:$A$21,A292,Rechner!$B$12:$B$21))</f>
        <v/>
      </c>
      <c r="G292">
        <f>H291+E292</f>
        <v/>
      </c>
      <c r="H292">
        <f>G292-MIN(F292,G292)</f>
        <v/>
      </c>
      <c r="I292">
        <f>MIN(F292-MIN(F292,G292),D292)</f>
        <v/>
      </c>
      <c r="J292">
        <f>D292-I292</f>
        <v/>
      </c>
      <c r="K292">
        <f>F292-MIN(F292,G292)-I292</f>
        <v/>
      </c>
    </row>
    <row r="293">
      <c r="A293" s="21">
        <f>IF(Rechner!$E$4&lt;&gt;"ok","",IF(Rechner!$E$5+291&lt;=Rechner!$B$6,Rechner!$E$5+291,""))</f>
        <v/>
      </c>
      <c r="B293">
        <f>IF(A293="","",LOOKUP(A293,Basiszins!$A$5:$A$18,Basiszins!$B$5:$B$18))</f>
        <v/>
      </c>
      <c r="C293">
        <f>IF(A293="","",B293+Rechner!$E$7)</f>
        <v/>
      </c>
      <c r="D293">
        <f>J292</f>
        <v/>
      </c>
      <c r="E293">
        <f>IF(A293="",0,D293*C293/100/(DATE(YEAR(A293)+1,1,1)-DATE(YEAR(A293),1,1)))</f>
        <v/>
      </c>
      <c r="F293">
        <f>IF(A293="",0,SUMIF(Rechner!$A$12:$A$21,A293,Rechner!$B$12:$B$21))</f>
        <v/>
      </c>
      <c r="G293">
        <f>H292+E293</f>
        <v/>
      </c>
      <c r="H293">
        <f>G293-MIN(F293,G293)</f>
        <v/>
      </c>
      <c r="I293">
        <f>MIN(F293-MIN(F293,G293),D293)</f>
        <v/>
      </c>
      <c r="J293">
        <f>D293-I293</f>
        <v/>
      </c>
      <c r="K293">
        <f>F293-MIN(F293,G293)-I293</f>
        <v/>
      </c>
    </row>
    <row r="294">
      <c r="A294" s="21">
        <f>IF(Rechner!$E$4&lt;&gt;"ok","",IF(Rechner!$E$5+292&lt;=Rechner!$B$6,Rechner!$E$5+292,""))</f>
        <v/>
      </c>
      <c r="B294">
        <f>IF(A294="","",LOOKUP(A294,Basiszins!$A$5:$A$18,Basiszins!$B$5:$B$18))</f>
        <v/>
      </c>
      <c r="C294">
        <f>IF(A294="","",B294+Rechner!$E$7)</f>
        <v/>
      </c>
      <c r="D294">
        <f>J293</f>
        <v/>
      </c>
      <c r="E294">
        <f>IF(A294="",0,D294*C294/100/(DATE(YEAR(A294)+1,1,1)-DATE(YEAR(A294),1,1)))</f>
        <v/>
      </c>
      <c r="F294">
        <f>IF(A294="",0,SUMIF(Rechner!$A$12:$A$21,A294,Rechner!$B$12:$B$21))</f>
        <v/>
      </c>
      <c r="G294">
        <f>H293+E294</f>
        <v/>
      </c>
      <c r="H294">
        <f>G294-MIN(F294,G294)</f>
        <v/>
      </c>
      <c r="I294">
        <f>MIN(F294-MIN(F294,G294),D294)</f>
        <v/>
      </c>
      <c r="J294">
        <f>D294-I294</f>
        <v/>
      </c>
      <c r="K294">
        <f>F294-MIN(F294,G294)-I294</f>
        <v/>
      </c>
    </row>
    <row r="295">
      <c r="A295" s="21">
        <f>IF(Rechner!$E$4&lt;&gt;"ok","",IF(Rechner!$E$5+293&lt;=Rechner!$B$6,Rechner!$E$5+293,""))</f>
        <v/>
      </c>
      <c r="B295">
        <f>IF(A295="","",LOOKUP(A295,Basiszins!$A$5:$A$18,Basiszins!$B$5:$B$18))</f>
        <v/>
      </c>
      <c r="C295">
        <f>IF(A295="","",B295+Rechner!$E$7)</f>
        <v/>
      </c>
      <c r="D295">
        <f>J294</f>
        <v/>
      </c>
      <c r="E295">
        <f>IF(A295="",0,D295*C295/100/(DATE(YEAR(A295)+1,1,1)-DATE(YEAR(A295),1,1)))</f>
        <v/>
      </c>
      <c r="F295">
        <f>IF(A295="",0,SUMIF(Rechner!$A$12:$A$21,A295,Rechner!$B$12:$B$21))</f>
        <v/>
      </c>
      <c r="G295">
        <f>H294+E295</f>
        <v/>
      </c>
      <c r="H295">
        <f>G295-MIN(F295,G295)</f>
        <v/>
      </c>
      <c r="I295">
        <f>MIN(F295-MIN(F295,G295),D295)</f>
        <v/>
      </c>
      <c r="J295">
        <f>D295-I295</f>
        <v/>
      </c>
      <c r="K295">
        <f>F295-MIN(F295,G295)-I295</f>
        <v/>
      </c>
    </row>
    <row r="296">
      <c r="A296" s="21">
        <f>IF(Rechner!$E$4&lt;&gt;"ok","",IF(Rechner!$E$5+294&lt;=Rechner!$B$6,Rechner!$E$5+294,""))</f>
        <v/>
      </c>
      <c r="B296">
        <f>IF(A296="","",LOOKUP(A296,Basiszins!$A$5:$A$18,Basiszins!$B$5:$B$18))</f>
        <v/>
      </c>
      <c r="C296">
        <f>IF(A296="","",B296+Rechner!$E$7)</f>
        <v/>
      </c>
      <c r="D296">
        <f>J295</f>
        <v/>
      </c>
      <c r="E296">
        <f>IF(A296="",0,D296*C296/100/(DATE(YEAR(A296)+1,1,1)-DATE(YEAR(A296),1,1)))</f>
        <v/>
      </c>
      <c r="F296">
        <f>IF(A296="",0,SUMIF(Rechner!$A$12:$A$21,A296,Rechner!$B$12:$B$21))</f>
        <v/>
      </c>
      <c r="G296">
        <f>H295+E296</f>
        <v/>
      </c>
      <c r="H296">
        <f>G296-MIN(F296,G296)</f>
        <v/>
      </c>
      <c r="I296">
        <f>MIN(F296-MIN(F296,G296),D296)</f>
        <v/>
      </c>
      <c r="J296">
        <f>D296-I296</f>
        <v/>
      </c>
      <c r="K296">
        <f>F296-MIN(F296,G296)-I296</f>
        <v/>
      </c>
    </row>
    <row r="297">
      <c r="A297" s="21">
        <f>IF(Rechner!$E$4&lt;&gt;"ok","",IF(Rechner!$E$5+295&lt;=Rechner!$B$6,Rechner!$E$5+295,""))</f>
        <v/>
      </c>
      <c r="B297">
        <f>IF(A297="","",LOOKUP(A297,Basiszins!$A$5:$A$18,Basiszins!$B$5:$B$18))</f>
        <v/>
      </c>
      <c r="C297">
        <f>IF(A297="","",B297+Rechner!$E$7)</f>
        <v/>
      </c>
      <c r="D297">
        <f>J296</f>
        <v/>
      </c>
      <c r="E297">
        <f>IF(A297="",0,D297*C297/100/(DATE(YEAR(A297)+1,1,1)-DATE(YEAR(A297),1,1)))</f>
        <v/>
      </c>
      <c r="F297">
        <f>IF(A297="",0,SUMIF(Rechner!$A$12:$A$21,A297,Rechner!$B$12:$B$21))</f>
        <v/>
      </c>
      <c r="G297">
        <f>H296+E297</f>
        <v/>
      </c>
      <c r="H297">
        <f>G297-MIN(F297,G297)</f>
        <v/>
      </c>
      <c r="I297">
        <f>MIN(F297-MIN(F297,G297),D297)</f>
        <v/>
      </c>
      <c r="J297">
        <f>D297-I297</f>
        <v/>
      </c>
      <c r="K297">
        <f>F297-MIN(F297,G297)-I297</f>
        <v/>
      </c>
    </row>
    <row r="298">
      <c r="A298" s="21">
        <f>IF(Rechner!$E$4&lt;&gt;"ok","",IF(Rechner!$E$5+296&lt;=Rechner!$B$6,Rechner!$E$5+296,""))</f>
        <v/>
      </c>
      <c r="B298">
        <f>IF(A298="","",LOOKUP(A298,Basiszins!$A$5:$A$18,Basiszins!$B$5:$B$18))</f>
        <v/>
      </c>
      <c r="C298">
        <f>IF(A298="","",B298+Rechner!$E$7)</f>
        <v/>
      </c>
      <c r="D298">
        <f>J297</f>
        <v/>
      </c>
      <c r="E298">
        <f>IF(A298="",0,D298*C298/100/(DATE(YEAR(A298)+1,1,1)-DATE(YEAR(A298),1,1)))</f>
        <v/>
      </c>
      <c r="F298">
        <f>IF(A298="",0,SUMIF(Rechner!$A$12:$A$21,A298,Rechner!$B$12:$B$21))</f>
        <v/>
      </c>
      <c r="G298">
        <f>H297+E298</f>
        <v/>
      </c>
      <c r="H298">
        <f>G298-MIN(F298,G298)</f>
        <v/>
      </c>
      <c r="I298">
        <f>MIN(F298-MIN(F298,G298),D298)</f>
        <v/>
      </c>
      <c r="J298">
        <f>D298-I298</f>
        <v/>
      </c>
      <c r="K298">
        <f>F298-MIN(F298,G298)-I298</f>
        <v/>
      </c>
    </row>
    <row r="299">
      <c r="A299" s="21">
        <f>IF(Rechner!$E$4&lt;&gt;"ok","",IF(Rechner!$E$5+297&lt;=Rechner!$B$6,Rechner!$E$5+297,""))</f>
        <v/>
      </c>
      <c r="B299">
        <f>IF(A299="","",LOOKUP(A299,Basiszins!$A$5:$A$18,Basiszins!$B$5:$B$18))</f>
        <v/>
      </c>
      <c r="C299">
        <f>IF(A299="","",B299+Rechner!$E$7)</f>
        <v/>
      </c>
      <c r="D299">
        <f>J298</f>
        <v/>
      </c>
      <c r="E299">
        <f>IF(A299="",0,D299*C299/100/(DATE(YEAR(A299)+1,1,1)-DATE(YEAR(A299),1,1)))</f>
        <v/>
      </c>
      <c r="F299">
        <f>IF(A299="",0,SUMIF(Rechner!$A$12:$A$21,A299,Rechner!$B$12:$B$21))</f>
        <v/>
      </c>
      <c r="G299">
        <f>H298+E299</f>
        <v/>
      </c>
      <c r="H299">
        <f>G299-MIN(F299,G299)</f>
        <v/>
      </c>
      <c r="I299">
        <f>MIN(F299-MIN(F299,G299),D299)</f>
        <v/>
      </c>
      <c r="J299">
        <f>D299-I299</f>
        <v/>
      </c>
      <c r="K299">
        <f>F299-MIN(F299,G299)-I299</f>
        <v/>
      </c>
    </row>
    <row r="300">
      <c r="A300" s="21">
        <f>IF(Rechner!$E$4&lt;&gt;"ok","",IF(Rechner!$E$5+298&lt;=Rechner!$B$6,Rechner!$E$5+298,""))</f>
        <v/>
      </c>
      <c r="B300">
        <f>IF(A300="","",LOOKUP(A300,Basiszins!$A$5:$A$18,Basiszins!$B$5:$B$18))</f>
        <v/>
      </c>
      <c r="C300">
        <f>IF(A300="","",B300+Rechner!$E$7)</f>
        <v/>
      </c>
      <c r="D300">
        <f>J299</f>
        <v/>
      </c>
      <c r="E300">
        <f>IF(A300="",0,D300*C300/100/(DATE(YEAR(A300)+1,1,1)-DATE(YEAR(A300),1,1)))</f>
        <v/>
      </c>
      <c r="F300">
        <f>IF(A300="",0,SUMIF(Rechner!$A$12:$A$21,A300,Rechner!$B$12:$B$21))</f>
        <v/>
      </c>
      <c r="G300">
        <f>H299+E300</f>
        <v/>
      </c>
      <c r="H300">
        <f>G300-MIN(F300,G300)</f>
        <v/>
      </c>
      <c r="I300">
        <f>MIN(F300-MIN(F300,G300),D300)</f>
        <v/>
      </c>
      <c r="J300">
        <f>D300-I300</f>
        <v/>
      </c>
      <c r="K300">
        <f>F300-MIN(F300,G300)-I300</f>
        <v/>
      </c>
    </row>
    <row r="301">
      <c r="A301" s="21">
        <f>IF(Rechner!$E$4&lt;&gt;"ok","",IF(Rechner!$E$5+299&lt;=Rechner!$B$6,Rechner!$E$5+299,""))</f>
        <v/>
      </c>
      <c r="B301">
        <f>IF(A301="","",LOOKUP(A301,Basiszins!$A$5:$A$18,Basiszins!$B$5:$B$18))</f>
        <v/>
      </c>
      <c r="C301">
        <f>IF(A301="","",B301+Rechner!$E$7)</f>
        <v/>
      </c>
      <c r="D301">
        <f>J300</f>
        <v/>
      </c>
      <c r="E301">
        <f>IF(A301="",0,D301*C301/100/(DATE(YEAR(A301)+1,1,1)-DATE(YEAR(A301),1,1)))</f>
        <v/>
      </c>
      <c r="F301">
        <f>IF(A301="",0,SUMIF(Rechner!$A$12:$A$21,A301,Rechner!$B$12:$B$21))</f>
        <v/>
      </c>
      <c r="G301">
        <f>H300+E301</f>
        <v/>
      </c>
      <c r="H301">
        <f>G301-MIN(F301,G301)</f>
        <v/>
      </c>
      <c r="I301">
        <f>MIN(F301-MIN(F301,G301),D301)</f>
        <v/>
      </c>
      <c r="J301">
        <f>D301-I301</f>
        <v/>
      </c>
      <c r="K301">
        <f>F301-MIN(F301,G301)-I301</f>
        <v/>
      </c>
    </row>
    <row r="302">
      <c r="A302" s="21">
        <f>IF(Rechner!$E$4&lt;&gt;"ok","",IF(Rechner!$E$5+300&lt;=Rechner!$B$6,Rechner!$E$5+300,""))</f>
        <v/>
      </c>
      <c r="B302">
        <f>IF(A302="","",LOOKUP(A302,Basiszins!$A$5:$A$18,Basiszins!$B$5:$B$18))</f>
        <v/>
      </c>
      <c r="C302">
        <f>IF(A302="","",B302+Rechner!$E$7)</f>
        <v/>
      </c>
      <c r="D302">
        <f>J301</f>
        <v/>
      </c>
      <c r="E302">
        <f>IF(A302="",0,D302*C302/100/(DATE(YEAR(A302)+1,1,1)-DATE(YEAR(A302),1,1)))</f>
        <v/>
      </c>
      <c r="F302">
        <f>IF(A302="",0,SUMIF(Rechner!$A$12:$A$21,A302,Rechner!$B$12:$B$21))</f>
        <v/>
      </c>
      <c r="G302">
        <f>H301+E302</f>
        <v/>
      </c>
      <c r="H302">
        <f>G302-MIN(F302,G302)</f>
        <v/>
      </c>
      <c r="I302">
        <f>MIN(F302-MIN(F302,G302),D302)</f>
        <v/>
      </c>
      <c r="J302">
        <f>D302-I302</f>
        <v/>
      </c>
      <c r="K302">
        <f>F302-MIN(F302,G302)-I302</f>
        <v/>
      </c>
    </row>
    <row r="303">
      <c r="A303" s="21">
        <f>IF(Rechner!$E$4&lt;&gt;"ok","",IF(Rechner!$E$5+301&lt;=Rechner!$B$6,Rechner!$E$5+301,""))</f>
        <v/>
      </c>
      <c r="B303">
        <f>IF(A303="","",LOOKUP(A303,Basiszins!$A$5:$A$18,Basiszins!$B$5:$B$18))</f>
        <v/>
      </c>
      <c r="C303">
        <f>IF(A303="","",B303+Rechner!$E$7)</f>
        <v/>
      </c>
      <c r="D303">
        <f>J302</f>
        <v/>
      </c>
      <c r="E303">
        <f>IF(A303="",0,D303*C303/100/(DATE(YEAR(A303)+1,1,1)-DATE(YEAR(A303),1,1)))</f>
        <v/>
      </c>
      <c r="F303">
        <f>IF(A303="",0,SUMIF(Rechner!$A$12:$A$21,A303,Rechner!$B$12:$B$21))</f>
        <v/>
      </c>
      <c r="G303">
        <f>H302+E303</f>
        <v/>
      </c>
      <c r="H303">
        <f>G303-MIN(F303,G303)</f>
        <v/>
      </c>
      <c r="I303">
        <f>MIN(F303-MIN(F303,G303),D303)</f>
        <v/>
      </c>
      <c r="J303">
        <f>D303-I303</f>
        <v/>
      </c>
      <c r="K303">
        <f>F303-MIN(F303,G303)-I303</f>
        <v/>
      </c>
    </row>
    <row r="304">
      <c r="A304" s="21">
        <f>IF(Rechner!$E$4&lt;&gt;"ok","",IF(Rechner!$E$5+302&lt;=Rechner!$B$6,Rechner!$E$5+302,""))</f>
        <v/>
      </c>
      <c r="B304">
        <f>IF(A304="","",LOOKUP(A304,Basiszins!$A$5:$A$18,Basiszins!$B$5:$B$18))</f>
        <v/>
      </c>
      <c r="C304">
        <f>IF(A304="","",B304+Rechner!$E$7)</f>
        <v/>
      </c>
      <c r="D304">
        <f>J303</f>
        <v/>
      </c>
      <c r="E304">
        <f>IF(A304="",0,D304*C304/100/(DATE(YEAR(A304)+1,1,1)-DATE(YEAR(A304),1,1)))</f>
        <v/>
      </c>
      <c r="F304">
        <f>IF(A304="",0,SUMIF(Rechner!$A$12:$A$21,A304,Rechner!$B$12:$B$21))</f>
        <v/>
      </c>
      <c r="G304">
        <f>H303+E304</f>
        <v/>
      </c>
      <c r="H304">
        <f>G304-MIN(F304,G304)</f>
        <v/>
      </c>
      <c r="I304">
        <f>MIN(F304-MIN(F304,G304),D304)</f>
        <v/>
      </c>
      <c r="J304">
        <f>D304-I304</f>
        <v/>
      </c>
      <c r="K304">
        <f>F304-MIN(F304,G304)-I304</f>
        <v/>
      </c>
    </row>
    <row r="305">
      <c r="A305" s="21">
        <f>IF(Rechner!$E$4&lt;&gt;"ok","",IF(Rechner!$E$5+303&lt;=Rechner!$B$6,Rechner!$E$5+303,""))</f>
        <v/>
      </c>
      <c r="B305">
        <f>IF(A305="","",LOOKUP(A305,Basiszins!$A$5:$A$18,Basiszins!$B$5:$B$18))</f>
        <v/>
      </c>
      <c r="C305">
        <f>IF(A305="","",B305+Rechner!$E$7)</f>
        <v/>
      </c>
      <c r="D305">
        <f>J304</f>
        <v/>
      </c>
      <c r="E305">
        <f>IF(A305="",0,D305*C305/100/(DATE(YEAR(A305)+1,1,1)-DATE(YEAR(A305),1,1)))</f>
        <v/>
      </c>
      <c r="F305">
        <f>IF(A305="",0,SUMIF(Rechner!$A$12:$A$21,A305,Rechner!$B$12:$B$21))</f>
        <v/>
      </c>
      <c r="G305">
        <f>H304+E305</f>
        <v/>
      </c>
      <c r="H305">
        <f>G305-MIN(F305,G305)</f>
        <v/>
      </c>
      <c r="I305">
        <f>MIN(F305-MIN(F305,G305),D305)</f>
        <v/>
      </c>
      <c r="J305">
        <f>D305-I305</f>
        <v/>
      </c>
      <c r="K305">
        <f>F305-MIN(F305,G305)-I305</f>
        <v/>
      </c>
    </row>
    <row r="306">
      <c r="A306" s="21">
        <f>IF(Rechner!$E$4&lt;&gt;"ok","",IF(Rechner!$E$5+304&lt;=Rechner!$B$6,Rechner!$E$5+304,""))</f>
        <v/>
      </c>
      <c r="B306">
        <f>IF(A306="","",LOOKUP(A306,Basiszins!$A$5:$A$18,Basiszins!$B$5:$B$18))</f>
        <v/>
      </c>
      <c r="C306">
        <f>IF(A306="","",B306+Rechner!$E$7)</f>
        <v/>
      </c>
      <c r="D306">
        <f>J305</f>
        <v/>
      </c>
      <c r="E306">
        <f>IF(A306="",0,D306*C306/100/(DATE(YEAR(A306)+1,1,1)-DATE(YEAR(A306),1,1)))</f>
        <v/>
      </c>
      <c r="F306">
        <f>IF(A306="",0,SUMIF(Rechner!$A$12:$A$21,A306,Rechner!$B$12:$B$21))</f>
        <v/>
      </c>
      <c r="G306">
        <f>H305+E306</f>
        <v/>
      </c>
      <c r="H306">
        <f>G306-MIN(F306,G306)</f>
        <v/>
      </c>
      <c r="I306">
        <f>MIN(F306-MIN(F306,G306),D306)</f>
        <v/>
      </c>
      <c r="J306">
        <f>D306-I306</f>
        <v/>
      </c>
      <c r="K306">
        <f>F306-MIN(F306,G306)-I306</f>
        <v/>
      </c>
    </row>
    <row r="307">
      <c r="A307" s="21">
        <f>IF(Rechner!$E$4&lt;&gt;"ok","",IF(Rechner!$E$5+305&lt;=Rechner!$B$6,Rechner!$E$5+305,""))</f>
        <v/>
      </c>
      <c r="B307">
        <f>IF(A307="","",LOOKUP(A307,Basiszins!$A$5:$A$18,Basiszins!$B$5:$B$18))</f>
        <v/>
      </c>
      <c r="C307">
        <f>IF(A307="","",B307+Rechner!$E$7)</f>
        <v/>
      </c>
      <c r="D307">
        <f>J306</f>
        <v/>
      </c>
      <c r="E307">
        <f>IF(A307="",0,D307*C307/100/(DATE(YEAR(A307)+1,1,1)-DATE(YEAR(A307),1,1)))</f>
        <v/>
      </c>
      <c r="F307">
        <f>IF(A307="",0,SUMIF(Rechner!$A$12:$A$21,A307,Rechner!$B$12:$B$21))</f>
        <v/>
      </c>
      <c r="G307">
        <f>H306+E307</f>
        <v/>
      </c>
      <c r="H307">
        <f>G307-MIN(F307,G307)</f>
        <v/>
      </c>
      <c r="I307">
        <f>MIN(F307-MIN(F307,G307),D307)</f>
        <v/>
      </c>
      <c r="J307">
        <f>D307-I307</f>
        <v/>
      </c>
      <c r="K307">
        <f>F307-MIN(F307,G307)-I307</f>
        <v/>
      </c>
    </row>
    <row r="308">
      <c r="A308" s="21">
        <f>IF(Rechner!$E$4&lt;&gt;"ok","",IF(Rechner!$E$5+306&lt;=Rechner!$B$6,Rechner!$E$5+306,""))</f>
        <v/>
      </c>
      <c r="B308">
        <f>IF(A308="","",LOOKUP(A308,Basiszins!$A$5:$A$18,Basiszins!$B$5:$B$18))</f>
        <v/>
      </c>
      <c r="C308">
        <f>IF(A308="","",B308+Rechner!$E$7)</f>
        <v/>
      </c>
      <c r="D308">
        <f>J307</f>
        <v/>
      </c>
      <c r="E308">
        <f>IF(A308="",0,D308*C308/100/(DATE(YEAR(A308)+1,1,1)-DATE(YEAR(A308),1,1)))</f>
        <v/>
      </c>
      <c r="F308">
        <f>IF(A308="",0,SUMIF(Rechner!$A$12:$A$21,A308,Rechner!$B$12:$B$21))</f>
        <v/>
      </c>
      <c r="G308">
        <f>H307+E308</f>
        <v/>
      </c>
      <c r="H308">
        <f>G308-MIN(F308,G308)</f>
        <v/>
      </c>
      <c r="I308">
        <f>MIN(F308-MIN(F308,G308),D308)</f>
        <v/>
      </c>
      <c r="J308">
        <f>D308-I308</f>
        <v/>
      </c>
      <c r="K308">
        <f>F308-MIN(F308,G308)-I308</f>
        <v/>
      </c>
    </row>
    <row r="309">
      <c r="A309" s="21">
        <f>IF(Rechner!$E$4&lt;&gt;"ok","",IF(Rechner!$E$5+307&lt;=Rechner!$B$6,Rechner!$E$5+307,""))</f>
        <v/>
      </c>
      <c r="B309">
        <f>IF(A309="","",LOOKUP(A309,Basiszins!$A$5:$A$18,Basiszins!$B$5:$B$18))</f>
        <v/>
      </c>
      <c r="C309">
        <f>IF(A309="","",B309+Rechner!$E$7)</f>
        <v/>
      </c>
      <c r="D309">
        <f>J308</f>
        <v/>
      </c>
      <c r="E309">
        <f>IF(A309="",0,D309*C309/100/(DATE(YEAR(A309)+1,1,1)-DATE(YEAR(A309),1,1)))</f>
        <v/>
      </c>
      <c r="F309">
        <f>IF(A309="",0,SUMIF(Rechner!$A$12:$A$21,A309,Rechner!$B$12:$B$21))</f>
        <v/>
      </c>
      <c r="G309">
        <f>H308+E309</f>
        <v/>
      </c>
      <c r="H309">
        <f>G309-MIN(F309,G309)</f>
        <v/>
      </c>
      <c r="I309">
        <f>MIN(F309-MIN(F309,G309),D309)</f>
        <v/>
      </c>
      <c r="J309">
        <f>D309-I309</f>
        <v/>
      </c>
      <c r="K309">
        <f>F309-MIN(F309,G309)-I309</f>
        <v/>
      </c>
    </row>
    <row r="310">
      <c r="A310" s="21">
        <f>IF(Rechner!$E$4&lt;&gt;"ok","",IF(Rechner!$E$5+308&lt;=Rechner!$B$6,Rechner!$E$5+308,""))</f>
        <v/>
      </c>
      <c r="B310">
        <f>IF(A310="","",LOOKUP(A310,Basiszins!$A$5:$A$18,Basiszins!$B$5:$B$18))</f>
        <v/>
      </c>
      <c r="C310">
        <f>IF(A310="","",B310+Rechner!$E$7)</f>
        <v/>
      </c>
      <c r="D310">
        <f>J309</f>
        <v/>
      </c>
      <c r="E310">
        <f>IF(A310="",0,D310*C310/100/(DATE(YEAR(A310)+1,1,1)-DATE(YEAR(A310),1,1)))</f>
        <v/>
      </c>
      <c r="F310">
        <f>IF(A310="",0,SUMIF(Rechner!$A$12:$A$21,A310,Rechner!$B$12:$B$21))</f>
        <v/>
      </c>
      <c r="G310">
        <f>H309+E310</f>
        <v/>
      </c>
      <c r="H310">
        <f>G310-MIN(F310,G310)</f>
        <v/>
      </c>
      <c r="I310">
        <f>MIN(F310-MIN(F310,G310),D310)</f>
        <v/>
      </c>
      <c r="J310">
        <f>D310-I310</f>
        <v/>
      </c>
      <c r="K310">
        <f>F310-MIN(F310,G310)-I310</f>
        <v/>
      </c>
    </row>
    <row r="311">
      <c r="A311" s="21">
        <f>IF(Rechner!$E$4&lt;&gt;"ok","",IF(Rechner!$E$5+309&lt;=Rechner!$B$6,Rechner!$E$5+309,""))</f>
        <v/>
      </c>
      <c r="B311">
        <f>IF(A311="","",LOOKUP(A311,Basiszins!$A$5:$A$18,Basiszins!$B$5:$B$18))</f>
        <v/>
      </c>
      <c r="C311">
        <f>IF(A311="","",B311+Rechner!$E$7)</f>
        <v/>
      </c>
      <c r="D311">
        <f>J310</f>
        <v/>
      </c>
      <c r="E311">
        <f>IF(A311="",0,D311*C311/100/(DATE(YEAR(A311)+1,1,1)-DATE(YEAR(A311),1,1)))</f>
        <v/>
      </c>
      <c r="F311">
        <f>IF(A311="",0,SUMIF(Rechner!$A$12:$A$21,A311,Rechner!$B$12:$B$21))</f>
        <v/>
      </c>
      <c r="G311">
        <f>H310+E311</f>
        <v/>
      </c>
      <c r="H311">
        <f>G311-MIN(F311,G311)</f>
        <v/>
      </c>
      <c r="I311">
        <f>MIN(F311-MIN(F311,G311),D311)</f>
        <v/>
      </c>
      <c r="J311">
        <f>D311-I311</f>
        <v/>
      </c>
      <c r="K311">
        <f>F311-MIN(F311,G311)-I311</f>
        <v/>
      </c>
    </row>
    <row r="312">
      <c r="A312" s="21">
        <f>IF(Rechner!$E$4&lt;&gt;"ok","",IF(Rechner!$E$5+310&lt;=Rechner!$B$6,Rechner!$E$5+310,""))</f>
        <v/>
      </c>
      <c r="B312">
        <f>IF(A312="","",LOOKUP(A312,Basiszins!$A$5:$A$18,Basiszins!$B$5:$B$18))</f>
        <v/>
      </c>
      <c r="C312">
        <f>IF(A312="","",B312+Rechner!$E$7)</f>
        <v/>
      </c>
      <c r="D312">
        <f>J311</f>
        <v/>
      </c>
      <c r="E312">
        <f>IF(A312="",0,D312*C312/100/(DATE(YEAR(A312)+1,1,1)-DATE(YEAR(A312),1,1)))</f>
        <v/>
      </c>
      <c r="F312">
        <f>IF(A312="",0,SUMIF(Rechner!$A$12:$A$21,A312,Rechner!$B$12:$B$21))</f>
        <v/>
      </c>
      <c r="G312">
        <f>H311+E312</f>
        <v/>
      </c>
      <c r="H312">
        <f>G312-MIN(F312,G312)</f>
        <v/>
      </c>
      <c r="I312">
        <f>MIN(F312-MIN(F312,G312),D312)</f>
        <v/>
      </c>
      <c r="J312">
        <f>D312-I312</f>
        <v/>
      </c>
      <c r="K312">
        <f>F312-MIN(F312,G312)-I312</f>
        <v/>
      </c>
    </row>
    <row r="313">
      <c r="A313" s="21">
        <f>IF(Rechner!$E$4&lt;&gt;"ok","",IF(Rechner!$E$5+311&lt;=Rechner!$B$6,Rechner!$E$5+311,""))</f>
        <v/>
      </c>
      <c r="B313">
        <f>IF(A313="","",LOOKUP(A313,Basiszins!$A$5:$A$18,Basiszins!$B$5:$B$18))</f>
        <v/>
      </c>
      <c r="C313">
        <f>IF(A313="","",B313+Rechner!$E$7)</f>
        <v/>
      </c>
      <c r="D313">
        <f>J312</f>
        <v/>
      </c>
      <c r="E313">
        <f>IF(A313="",0,D313*C313/100/(DATE(YEAR(A313)+1,1,1)-DATE(YEAR(A313),1,1)))</f>
        <v/>
      </c>
      <c r="F313">
        <f>IF(A313="",0,SUMIF(Rechner!$A$12:$A$21,A313,Rechner!$B$12:$B$21))</f>
        <v/>
      </c>
      <c r="G313">
        <f>H312+E313</f>
        <v/>
      </c>
      <c r="H313">
        <f>G313-MIN(F313,G313)</f>
        <v/>
      </c>
      <c r="I313">
        <f>MIN(F313-MIN(F313,G313),D313)</f>
        <v/>
      </c>
      <c r="J313">
        <f>D313-I313</f>
        <v/>
      </c>
      <c r="K313">
        <f>F313-MIN(F313,G313)-I313</f>
        <v/>
      </c>
    </row>
    <row r="314">
      <c r="A314" s="21">
        <f>IF(Rechner!$E$4&lt;&gt;"ok","",IF(Rechner!$E$5+312&lt;=Rechner!$B$6,Rechner!$E$5+312,""))</f>
        <v/>
      </c>
      <c r="B314">
        <f>IF(A314="","",LOOKUP(A314,Basiszins!$A$5:$A$18,Basiszins!$B$5:$B$18))</f>
        <v/>
      </c>
      <c r="C314">
        <f>IF(A314="","",B314+Rechner!$E$7)</f>
        <v/>
      </c>
      <c r="D314">
        <f>J313</f>
        <v/>
      </c>
      <c r="E314">
        <f>IF(A314="",0,D314*C314/100/(DATE(YEAR(A314)+1,1,1)-DATE(YEAR(A314),1,1)))</f>
        <v/>
      </c>
      <c r="F314">
        <f>IF(A314="",0,SUMIF(Rechner!$A$12:$A$21,A314,Rechner!$B$12:$B$21))</f>
        <v/>
      </c>
      <c r="G314">
        <f>H313+E314</f>
        <v/>
      </c>
      <c r="H314">
        <f>G314-MIN(F314,G314)</f>
        <v/>
      </c>
      <c r="I314">
        <f>MIN(F314-MIN(F314,G314),D314)</f>
        <v/>
      </c>
      <c r="J314">
        <f>D314-I314</f>
        <v/>
      </c>
      <c r="K314">
        <f>F314-MIN(F314,G314)-I314</f>
        <v/>
      </c>
    </row>
    <row r="315">
      <c r="A315" s="21">
        <f>IF(Rechner!$E$4&lt;&gt;"ok","",IF(Rechner!$E$5+313&lt;=Rechner!$B$6,Rechner!$E$5+313,""))</f>
        <v/>
      </c>
      <c r="B315">
        <f>IF(A315="","",LOOKUP(A315,Basiszins!$A$5:$A$18,Basiszins!$B$5:$B$18))</f>
        <v/>
      </c>
      <c r="C315">
        <f>IF(A315="","",B315+Rechner!$E$7)</f>
        <v/>
      </c>
      <c r="D315">
        <f>J314</f>
        <v/>
      </c>
      <c r="E315">
        <f>IF(A315="",0,D315*C315/100/(DATE(YEAR(A315)+1,1,1)-DATE(YEAR(A315),1,1)))</f>
        <v/>
      </c>
      <c r="F315">
        <f>IF(A315="",0,SUMIF(Rechner!$A$12:$A$21,A315,Rechner!$B$12:$B$21))</f>
        <v/>
      </c>
      <c r="G315">
        <f>H314+E315</f>
        <v/>
      </c>
      <c r="H315">
        <f>G315-MIN(F315,G315)</f>
        <v/>
      </c>
      <c r="I315">
        <f>MIN(F315-MIN(F315,G315),D315)</f>
        <v/>
      </c>
      <c r="J315">
        <f>D315-I315</f>
        <v/>
      </c>
      <c r="K315">
        <f>F315-MIN(F315,G315)-I315</f>
        <v/>
      </c>
    </row>
    <row r="316">
      <c r="A316" s="21">
        <f>IF(Rechner!$E$4&lt;&gt;"ok","",IF(Rechner!$E$5+314&lt;=Rechner!$B$6,Rechner!$E$5+314,""))</f>
        <v/>
      </c>
      <c r="B316">
        <f>IF(A316="","",LOOKUP(A316,Basiszins!$A$5:$A$18,Basiszins!$B$5:$B$18))</f>
        <v/>
      </c>
      <c r="C316">
        <f>IF(A316="","",B316+Rechner!$E$7)</f>
        <v/>
      </c>
      <c r="D316">
        <f>J315</f>
        <v/>
      </c>
      <c r="E316">
        <f>IF(A316="",0,D316*C316/100/(DATE(YEAR(A316)+1,1,1)-DATE(YEAR(A316),1,1)))</f>
        <v/>
      </c>
      <c r="F316">
        <f>IF(A316="",0,SUMIF(Rechner!$A$12:$A$21,A316,Rechner!$B$12:$B$21))</f>
        <v/>
      </c>
      <c r="G316">
        <f>H315+E316</f>
        <v/>
      </c>
      <c r="H316">
        <f>G316-MIN(F316,G316)</f>
        <v/>
      </c>
      <c r="I316">
        <f>MIN(F316-MIN(F316,G316),D316)</f>
        <v/>
      </c>
      <c r="J316">
        <f>D316-I316</f>
        <v/>
      </c>
      <c r="K316">
        <f>F316-MIN(F316,G316)-I316</f>
        <v/>
      </c>
    </row>
    <row r="317">
      <c r="A317" s="21">
        <f>IF(Rechner!$E$4&lt;&gt;"ok","",IF(Rechner!$E$5+315&lt;=Rechner!$B$6,Rechner!$E$5+315,""))</f>
        <v/>
      </c>
      <c r="B317">
        <f>IF(A317="","",LOOKUP(A317,Basiszins!$A$5:$A$18,Basiszins!$B$5:$B$18))</f>
        <v/>
      </c>
      <c r="C317">
        <f>IF(A317="","",B317+Rechner!$E$7)</f>
        <v/>
      </c>
      <c r="D317">
        <f>J316</f>
        <v/>
      </c>
      <c r="E317">
        <f>IF(A317="",0,D317*C317/100/(DATE(YEAR(A317)+1,1,1)-DATE(YEAR(A317),1,1)))</f>
        <v/>
      </c>
      <c r="F317">
        <f>IF(A317="",0,SUMIF(Rechner!$A$12:$A$21,A317,Rechner!$B$12:$B$21))</f>
        <v/>
      </c>
      <c r="G317">
        <f>H316+E317</f>
        <v/>
      </c>
      <c r="H317">
        <f>G317-MIN(F317,G317)</f>
        <v/>
      </c>
      <c r="I317">
        <f>MIN(F317-MIN(F317,G317),D317)</f>
        <v/>
      </c>
      <c r="J317">
        <f>D317-I317</f>
        <v/>
      </c>
      <c r="K317">
        <f>F317-MIN(F317,G317)-I317</f>
        <v/>
      </c>
    </row>
    <row r="318">
      <c r="A318" s="21">
        <f>IF(Rechner!$E$4&lt;&gt;"ok","",IF(Rechner!$E$5+316&lt;=Rechner!$B$6,Rechner!$E$5+316,""))</f>
        <v/>
      </c>
      <c r="B318">
        <f>IF(A318="","",LOOKUP(A318,Basiszins!$A$5:$A$18,Basiszins!$B$5:$B$18))</f>
        <v/>
      </c>
      <c r="C318">
        <f>IF(A318="","",B318+Rechner!$E$7)</f>
        <v/>
      </c>
      <c r="D318">
        <f>J317</f>
        <v/>
      </c>
      <c r="E318">
        <f>IF(A318="",0,D318*C318/100/(DATE(YEAR(A318)+1,1,1)-DATE(YEAR(A318),1,1)))</f>
        <v/>
      </c>
      <c r="F318">
        <f>IF(A318="",0,SUMIF(Rechner!$A$12:$A$21,A318,Rechner!$B$12:$B$21))</f>
        <v/>
      </c>
      <c r="G318">
        <f>H317+E318</f>
        <v/>
      </c>
      <c r="H318">
        <f>G318-MIN(F318,G318)</f>
        <v/>
      </c>
      <c r="I318">
        <f>MIN(F318-MIN(F318,G318),D318)</f>
        <v/>
      </c>
      <c r="J318">
        <f>D318-I318</f>
        <v/>
      </c>
      <c r="K318">
        <f>F318-MIN(F318,G318)-I318</f>
        <v/>
      </c>
    </row>
    <row r="319">
      <c r="A319" s="21">
        <f>IF(Rechner!$E$4&lt;&gt;"ok","",IF(Rechner!$E$5+317&lt;=Rechner!$B$6,Rechner!$E$5+317,""))</f>
        <v/>
      </c>
      <c r="B319">
        <f>IF(A319="","",LOOKUP(A319,Basiszins!$A$5:$A$18,Basiszins!$B$5:$B$18))</f>
        <v/>
      </c>
      <c r="C319">
        <f>IF(A319="","",B319+Rechner!$E$7)</f>
        <v/>
      </c>
      <c r="D319">
        <f>J318</f>
        <v/>
      </c>
      <c r="E319">
        <f>IF(A319="",0,D319*C319/100/(DATE(YEAR(A319)+1,1,1)-DATE(YEAR(A319),1,1)))</f>
        <v/>
      </c>
      <c r="F319">
        <f>IF(A319="",0,SUMIF(Rechner!$A$12:$A$21,A319,Rechner!$B$12:$B$21))</f>
        <v/>
      </c>
      <c r="G319">
        <f>H318+E319</f>
        <v/>
      </c>
      <c r="H319">
        <f>G319-MIN(F319,G319)</f>
        <v/>
      </c>
      <c r="I319">
        <f>MIN(F319-MIN(F319,G319),D319)</f>
        <v/>
      </c>
      <c r="J319">
        <f>D319-I319</f>
        <v/>
      </c>
      <c r="K319">
        <f>F319-MIN(F319,G319)-I319</f>
        <v/>
      </c>
    </row>
    <row r="320">
      <c r="A320" s="21">
        <f>IF(Rechner!$E$4&lt;&gt;"ok","",IF(Rechner!$E$5+318&lt;=Rechner!$B$6,Rechner!$E$5+318,""))</f>
        <v/>
      </c>
      <c r="B320">
        <f>IF(A320="","",LOOKUP(A320,Basiszins!$A$5:$A$18,Basiszins!$B$5:$B$18))</f>
        <v/>
      </c>
      <c r="C320">
        <f>IF(A320="","",B320+Rechner!$E$7)</f>
        <v/>
      </c>
      <c r="D320">
        <f>J319</f>
        <v/>
      </c>
      <c r="E320">
        <f>IF(A320="",0,D320*C320/100/(DATE(YEAR(A320)+1,1,1)-DATE(YEAR(A320),1,1)))</f>
        <v/>
      </c>
      <c r="F320">
        <f>IF(A320="",0,SUMIF(Rechner!$A$12:$A$21,A320,Rechner!$B$12:$B$21))</f>
        <v/>
      </c>
      <c r="G320">
        <f>H319+E320</f>
        <v/>
      </c>
      <c r="H320">
        <f>G320-MIN(F320,G320)</f>
        <v/>
      </c>
      <c r="I320">
        <f>MIN(F320-MIN(F320,G320),D320)</f>
        <v/>
      </c>
      <c r="J320">
        <f>D320-I320</f>
        <v/>
      </c>
      <c r="K320">
        <f>F320-MIN(F320,G320)-I320</f>
        <v/>
      </c>
    </row>
    <row r="321">
      <c r="A321" s="21">
        <f>IF(Rechner!$E$4&lt;&gt;"ok","",IF(Rechner!$E$5+319&lt;=Rechner!$B$6,Rechner!$E$5+319,""))</f>
        <v/>
      </c>
      <c r="B321">
        <f>IF(A321="","",LOOKUP(A321,Basiszins!$A$5:$A$18,Basiszins!$B$5:$B$18))</f>
        <v/>
      </c>
      <c r="C321">
        <f>IF(A321="","",B321+Rechner!$E$7)</f>
        <v/>
      </c>
      <c r="D321">
        <f>J320</f>
        <v/>
      </c>
      <c r="E321">
        <f>IF(A321="",0,D321*C321/100/(DATE(YEAR(A321)+1,1,1)-DATE(YEAR(A321),1,1)))</f>
        <v/>
      </c>
      <c r="F321">
        <f>IF(A321="",0,SUMIF(Rechner!$A$12:$A$21,A321,Rechner!$B$12:$B$21))</f>
        <v/>
      </c>
      <c r="G321">
        <f>H320+E321</f>
        <v/>
      </c>
      <c r="H321">
        <f>G321-MIN(F321,G321)</f>
        <v/>
      </c>
      <c r="I321">
        <f>MIN(F321-MIN(F321,G321),D321)</f>
        <v/>
      </c>
      <c r="J321">
        <f>D321-I321</f>
        <v/>
      </c>
      <c r="K321">
        <f>F321-MIN(F321,G321)-I321</f>
        <v/>
      </c>
    </row>
    <row r="322">
      <c r="A322" s="21">
        <f>IF(Rechner!$E$4&lt;&gt;"ok","",IF(Rechner!$E$5+320&lt;=Rechner!$B$6,Rechner!$E$5+320,""))</f>
        <v/>
      </c>
      <c r="B322">
        <f>IF(A322="","",LOOKUP(A322,Basiszins!$A$5:$A$18,Basiszins!$B$5:$B$18))</f>
        <v/>
      </c>
      <c r="C322">
        <f>IF(A322="","",B322+Rechner!$E$7)</f>
        <v/>
      </c>
      <c r="D322">
        <f>J321</f>
        <v/>
      </c>
      <c r="E322">
        <f>IF(A322="",0,D322*C322/100/(DATE(YEAR(A322)+1,1,1)-DATE(YEAR(A322),1,1)))</f>
        <v/>
      </c>
      <c r="F322">
        <f>IF(A322="",0,SUMIF(Rechner!$A$12:$A$21,A322,Rechner!$B$12:$B$21))</f>
        <v/>
      </c>
      <c r="G322">
        <f>H321+E322</f>
        <v/>
      </c>
      <c r="H322">
        <f>G322-MIN(F322,G322)</f>
        <v/>
      </c>
      <c r="I322">
        <f>MIN(F322-MIN(F322,G322),D322)</f>
        <v/>
      </c>
      <c r="J322">
        <f>D322-I322</f>
        <v/>
      </c>
      <c r="K322">
        <f>F322-MIN(F322,G322)-I322</f>
        <v/>
      </c>
    </row>
    <row r="323">
      <c r="A323" s="21">
        <f>IF(Rechner!$E$4&lt;&gt;"ok","",IF(Rechner!$E$5+321&lt;=Rechner!$B$6,Rechner!$E$5+321,""))</f>
        <v/>
      </c>
      <c r="B323">
        <f>IF(A323="","",LOOKUP(A323,Basiszins!$A$5:$A$18,Basiszins!$B$5:$B$18))</f>
        <v/>
      </c>
      <c r="C323">
        <f>IF(A323="","",B323+Rechner!$E$7)</f>
        <v/>
      </c>
      <c r="D323">
        <f>J322</f>
        <v/>
      </c>
      <c r="E323">
        <f>IF(A323="",0,D323*C323/100/(DATE(YEAR(A323)+1,1,1)-DATE(YEAR(A323),1,1)))</f>
        <v/>
      </c>
      <c r="F323">
        <f>IF(A323="",0,SUMIF(Rechner!$A$12:$A$21,A323,Rechner!$B$12:$B$21))</f>
        <v/>
      </c>
      <c r="G323">
        <f>H322+E323</f>
        <v/>
      </c>
      <c r="H323">
        <f>G323-MIN(F323,G323)</f>
        <v/>
      </c>
      <c r="I323">
        <f>MIN(F323-MIN(F323,G323),D323)</f>
        <v/>
      </c>
      <c r="J323">
        <f>D323-I323</f>
        <v/>
      </c>
      <c r="K323">
        <f>F323-MIN(F323,G323)-I323</f>
        <v/>
      </c>
    </row>
    <row r="324">
      <c r="A324" s="21">
        <f>IF(Rechner!$E$4&lt;&gt;"ok","",IF(Rechner!$E$5+322&lt;=Rechner!$B$6,Rechner!$E$5+322,""))</f>
        <v/>
      </c>
      <c r="B324">
        <f>IF(A324="","",LOOKUP(A324,Basiszins!$A$5:$A$18,Basiszins!$B$5:$B$18))</f>
        <v/>
      </c>
      <c r="C324">
        <f>IF(A324="","",B324+Rechner!$E$7)</f>
        <v/>
      </c>
      <c r="D324">
        <f>J323</f>
        <v/>
      </c>
      <c r="E324">
        <f>IF(A324="",0,D324*C324/100/(DATE(YEAR(A324)+1,1,1)-DATE(YEAR(A324),1,1)))</f>
        <v/>
      </c>
      <c r="F324">
        <f>IF(A324="",0,SUMIF(Rechner!$A$12:$A$21,A324,Rechner!$B$12:$B$21))</f>
        <v/>
      </c>
      <c r="G324">
        <f>H323+E324</f>
        <v/>
      </c>
      <c r="H324">
        <f>G324-MIN(F324,G324)</f>
        <v/>
      </c>
      <c r="I324">
        <f>MIN(F324-MIN(F324,G324),D324)</f>
        <v/>
      </c>
      <c r="J324">
        <f>D324-I324</f>
        <v/>
      </c>
      <c r="K324">
        <f>F324-MIN(F324,G324)-I324</f>
        <v/>
      </c>
    </row>
    <row r="325">
      <c r="A325" s="21">
        <f>IF(Rechner!$E$4&lt;&gt;"ok","",IF(Rechner!$E$5+323&lt;=Rechner!$B$6,Rechner!$E$5+323,""))</f>
        <v/>
      </c>
      <c r="B325">
        <f>IF(A325="","",LOOKUP(A325,Basiszins!$A$5:$A$18,Basiszins!$B$5:$B$18))</f>
        <v/>
      </c>
      <c r="C325">
        <f>IF(A325="","",B325+Rechner!$E$7)</f>
        <v/>
      </c>
      <c r="D325">
        <f>J324</f>
        <v/>
      </c>
      <c r="E325">
        <f>IF(A325="",0,D325*C325/100/(DATE(YEAR(A325)+1,1,1)-DATE(YEAR(A325),1,1)))</f>
        <v/>
      </c>
      <c r="F325">
        <f>IF(A325="",0,SUMIF(Rechner!$A$12:$A$21,A325,Rechner!$B$12:$B$21))</f>
        <v/>
      </c>
      <c r="G325">
        <f>H324+E325</f>
        <v/>
      </c>
      <c r="H325">
        <f>G325-MIN(F325,G325)</f>
        <v/>
      </c>
      <c r="I325">
        <f>MIN(F325-MIN(F325,G325),D325)</f>
        <v/>
      </c>
      <c r="J325">
        <f>D325-I325</f>
        <v/>
      </c>
      <c r="K325">
        <f>F325-MIN(F325,G325)-I325</f>
        <v/>
      </c>
    </row>
    <row r="326">
      <c r="A326" s="21">
        <f>IF(Rechner!$E$4&lt;&gt;"ok","",IF(Rechner!$E$5+324&lt;=Rechner!$B$6,Rechner!$E$5+324,""))</f>
        <v/>
      </c>
      <c r="B326">
        <f>IF(A326="","",LOOKUP(A326,Basiszins!$A$5:$A$18,Basiszins!$B$5:$B$18))</f>
        <v/>
      </c>
      <c r="C326">
        <f>IF(A326="","",B326+Rechner!$E$7)</f>
        <v/>
      </c>
      <c r="D326">
        <f>J325</f>
        <v/>
      </c>
      <c r="E326">
        <f>IF(A326="",0,D326*C326/100/(DATE(YEAR(A326)+1,1,1)-DATE(YEAR(A326),1,1)))</f>
        <v/>
      </c>
      <c r="F326">
        <f>IF(A326="",0,SUMIF(Rechner!$A$12:$A$21,A326,Rechner!$B$12:$B$21))</f>
        <v/>
      </c>
      <c r="G326">
        <f>H325+E326</f>
        <v/>
      </c>
      <c r="H326">
        <f>G326-MIN(F326,G326)</f>
        <v/>
      </c>
      <c r="I326">
        <f>MIN(F326-MIN(F326,G326),D326)</f>
        <v/>
      </c>
      <c r="J326">
        <f>D326-I326</f>
        <v/>
      </c>
      <c r="K326">
        <f>F326-MIN(F326,G326)-I326</f>
        <v/>
      </c>
    </row>
    <row r="327">
      <c r="A327" s="21">
        <f>IF(Rechner!$E$4&lt;&gt;"ok","",IF(Rechner!$E$5+325&lt;=Rechner!$B$6,Rechner!$E$5+325,""))</f>
        <v/>
      </c>
      <c r="B327">
        <f>IF(A327="","",LOOKUP(A327,Basiszins!$A$5:$A$18,Basiszins!$B$5:$B$18))</f>
        <v/>
      </c>
      <c r="C327">
        <f>IF(A327="","",B327+Rechner!$E$7)</f>
        <v/>
      </c>
      <c r="D327">
        <f>J326</f>
        <v/>
      </c>
      <c r="E327">
        <f>IF(A327="",0,D327*C327/100/(DATE(YEAR(A327)+1,1,1)-DATE(YEAR(A327),1,1)))</f>
        <v/>
      </c>
      <c r="F327">
        <f>IF(A327="",0,SUMIF(Rechner!$A$12:$A$21,A327,Rechner!$B$12:$B$21))</f>
        <v/>
      </c>
      <c r="G327">
        <f>H326+E327</f>
        <v/>
      </c>
      <c r="H327">
        <f>G327-MIN(F327,G327)</f>
        <v/>
      </c>
      <c r="I327">
        <f>MIN(F327-MIN(F327,G327),D327)</f>
        <v/>
      </c>
      <c r="J327">
        <f>D327-I327</f>
        <v/>
      </c>
      <c r="K327">
        <f>F327-MIN(F327,G327)-I327</f>
        <v/>
      </c>
    </row>
    <row r="328">
      <c r="A328" s="21">
        <f>IF(Rechner!$E$4&lt;&gt;"ok","",IF(Rechner!$E$5+326&lt;=Rechner!$B$6,Rechner!$E$5+326,""))</f>
        <v/>
      </c>
      <c r="B328">
        <f>IF(A328="","",LOOKUP(A328,Basiszins!$A$5:$A$18,Basiszins!$B$5:$B$18))</f>
        <v/>
      </c>
      <c r="C328">
        <f>IF(A328="","",B328+Rechner!$E$7)</f>
        <v/>
      </c>
      <c r="D328">
        <f>J327</f>
        <v/>
      </c>
      <c r="E328">
        <f>IF(A328="",0,D328*C328/100/(DATE(YEAR(A328)+1,1,1)-DATE(YEAR(A328),1,1)))</f>
        <v/>
      </c>
      <c r="F328">
        <f>IF(A328="",0,SUMIF(Rechner!$A$12:$A$21,A328,Rechner!$B$12:$B$21))</f>
        <v/>
      </c>
      <c r="G328">
        <f>H327+E328</f>
        <v/>
      </c>
      <c r="H328">
        <f>G328-MIN(F328,G328)</f>
        <v/>
      </c>
      <c r="I328">
        <f>MIN(F328-MIN(F328,G328),D328)</f>
        <v/>
      </c>
      <c r="J328">
        <f>D328-I328</f>
        <v/>
      </c>
      <c r="K328">
        <f>F328-MIN(F328,G328)-I328</f>
        <v/>
      </c>
    </row>
    <row r="329">
      <c r="A329" s="21">
        <f>IF(Rechner!$E$4&lt;&gt;"ok","",IF(Rechner!$E$5+327&lt;=Rechner!$B$6,Rechner!$E$5+327,""))</f>
        <v/>
      </c>
      <c r="B329">
        <f>IF(A329="","",LOOKUP(A329,Basiszins!$A$5:$A$18,Basiszins!$B$5:$B$18))</f>
        <v/>
      </c>
      <c r="C329">
        <f>IF(A329="","",B329+Rechner!$E$7)</f>
        <v/>
      </c>
      <c r="D329">
        <f>J328</f>
        <v/>
      </c>
      <c r="E329">
        <f>IF(A329="",0,D329*C329/100/(DATE(YEAR(A329)+1,1,1)-DATE(YEAR(A329),1,1)))</f>
        <v/>
      </c>
      <c r="F329">
        <f>IF(A329="",0,SUMIF(Rechner!$A$12:$A$21,A329,Rechner!$B$12:$B$21))</f>
        <v/>
      </c>
      <c r="G329">
        <f>H328+E329</f>
        <v/>
      </c>
      <c r="H329">
        <f>G329-MIN(F329,G329)</f>
        <v/>
      </c>
      <c r="I329">
        <f>MIN(F329-MIN(F329,G329),D329)</f>
        <v/>
      </c>
      <c r="J329">
        <f>D329-I329</f>
        <v/>
      </c>
      <c r="K329">
        <f>F329-MIN(F329,G329)-I329</f>
        <v/>
      </c>
    </row>
    <row r="330">
      <c r="A330" s="21">
        <f>IF(Rechner!$E$4&lt;&gt;"ok","",IF(Rechner!$E$5+328&lt;=Rechner!$B$6,Rechner!$E$5+328,""))</f>
        <v/>
      </c>
      <c r="B330">
        <f>IF(A330="","",LOOKUP(A330,Basiszins!$A$5:$A$18,Basiszins!$B$5:$B$18))</f>
        <v/>
      </c>
      <c r="C330">
        <f>IF(A330="","",B330+Rechner!$E$7)</f>
        <v/>
      </c>
      <c r="D330">
        <f>J329</f>
        <v/>
      </c>
      <c r="E330">
        <f>IF(A330="",0,D330*C330/100/(DATE(YEAR(A330)+1,1,1)-DATE(YEAR(A330),1,1)))</f>
        <v/>
      </c>
      <c r="F330">
        <f>IF(A330="",0,SUMIF(Rechner!$A$12:$A$21,A330,Rechner!$B$12:$B$21))</f>
        <v/>
      </c>
      <c r="G330">
        <f>H329+E330</f>
        <v/>
      </c>
      <c r="H330">
        <f>G330-MIN(F330,G330)</f>
        <v/>
      </c>
      <c r="I330">
        <f>MIN(F330-MIN(F330,G330),D330)</f>
        <v/>
      </c>
      <c r="J330">
        <f>D330-I330</f>
        <v/>
      </c>
      <c r="K330">
        <f>F330-MIN(F330,G330)-I330</f>
        <v/>
      </c>
    </row>
    <row r="331">
      <c r="A331" s="21">
        <f>IF(Rechner!$E$4&lt;&gt;"ok","",IF(Rechner!$E$5+329&lt;=Rechner!$B$6,Rechner!$E$5+329,""))</f>
        <v/>
      </c>
      <c r="B331">
        <f>IF(A331="","",LOOKUP(A331,Basiszins!$A$5:$A$18,Basiszins!$B$5:$B$18))</f>
        <v/>
      </c>
      <c r="C331">
        <f>IF(A331="","",B331+Rechner!$E$7)</f>
        <v/>
      </c>
      <c r="D331">
        <f>J330</f>
        <v/>
      </c>
      <c r="E331">
        <f>IF(A331="",0,D331*C331/100/(DATE(YEAR(A331)+1,1,1)-DATE(YEAR(A331),1,1)))</f>
        <v/>
      </c>
      <c r="F331">
        <f>IF(A331="",0,SUMIF(Rechner!$A$12:$A$21,A331,Rechner!$B$12:$B$21))</f>
        <v/>
      </c>
      <c r="G331">
        <f>H330+E331</f>
        <v/>
      </c>
      <c r="H331">
        <f>G331-MIN(F331,G331)</f>
        <v/>
      </c>
      <c r="I331">
        <f>MIN(F331-MIN(F331,G331),D331)</f>
        <v/>
      </c>
      <c r="J331">
        <f>D331-I331</f>
        <v/>
      </c>
      <c r="K331">
        <f>F331-MIN(F331,G331)-I331</f>
        <v/>
      </c>
    </row>
    <row r="332">
      <c r="A332" s="21">
        <f>IF(Rechner!$E$4&lt;&gt;"ok","",IF(Rechner!$E$5+330&lt;=Rechner!$B$6,Rechner!$E$5+330,""))</f>
        <v/>
      </c>
      <c r="B332">
        <f>IF(A332="","",LOOKUP(A332,Basiszins!$A$5:$A$18,Basiszins!$B$5:$B$18))</f>
        <v/>
      </c>
      <c r="C332">
        <f>IF(A332="","",B332+Rechner!$E$7)</f>
        <v/>
      </c>
      <c r="D332">
        <f>J331</f>
        <v/>
      </c>
      <c r="E332">
        <f>IF(A332="",0,D332*C332/100/(DATE(YEAR(A332)+1,1,1)-DATE(YEAR(A332),1,1)))</f>
        <v/>
      </c>
      <c r="F332">
        <f>IF(A332="",0,SUMIF(Rechner!$A$12:$A$21,A332,Rechner!$B$12:$B$21))</f>
        <v/>
      </c>
      <c r="G332">
        <f>H331+E332</f>
        <v/>
      </c>
      <c r="H332">
        <f>G332-MIN(F332,G332)</f>
        <v/>
      </c>
      <c r="I332">
        <f>MIN(F332-MIN(F332,G332),D332)</f>
        <v/>
      </c>
      <c r="J332">
        <f>D332-I332</f>
        <v/>
      </c>
      <c r="K332">
        <f>F332-MIN(F332,G332)-I332</f>
        <v/>
      </c>
    </row>
    <row r="333">
      <c r="A333" s="21">
        <f>IF(Rechner!$E$4&lt;&gt;"ok","",IF(Rechner!$E$5+331&lt;=Rechner!$B$6,Rechner!$E$5+331,""))</f>
        <v/>
      </c>
      <c r="B333">
        <f>IF(A333="","",LOOKUP(A333,Basiszins!$A$5:$A$18,Basiszins!$B$5:$B$18))</f>
        <v/>
      </c>
      <c r="C333">
        <f>IF(A333="","",B333+Rechner!$E$7)</f>
        <v/>
      </c>
      <c r="D333">
        <f>J332</f>
        <v/>
      </c>
      <c r="E333">
        <f>IF(A333="",0,D333*C333/100/(DATE(YEAR(A333)+1,1,1)-DATE(YEAR(A333),1,1)))</f>
        <v/>
      </c>
      <c r="F333">
        <f>IF(A333="",0,SUMIF(Rechner!$A$12:$A$21,A333,Rechner!$B$12:$B$21))</f>
        <v/>
      </c>
      <c r="G333">
        <f>H332+E333</f>
        <v/>
      </c>
      <c r="H333">
        <f>G333-MIN(F333,G333)</f>
        <v/>
      </c>
      <c r="I333">
        <f>MIN(F333-MIN(F333,G333),D333)</f>
        <v/>
      </c>
      <c r="J333">
        <f>D333-I333</f>
        <v/>
      </c>
      <c r="K333">
        <f>F333-MIN(F333,G333)-I333</f>
        <v/>
      </c>
    </row>
    <row r="334">
      <c r="A334" s="21">
        <f>IF(Rechner!$E$4&lt;&gt;"ok","",IF(Rechner!$E$5+332&lt;=Rechner!$B$6,Rechner!$E$5+332,""))</f>
        <v/>
      </c>
      <c r="B334">
        <f>IF(A334="","",LOOKUP(A334,Basiszins!$A$5:$A$18,Basiszins!$B$5:$B$18))</f>
        <v/>
      </c>
      <c r="C334">
        <f>IF(A334="","",B334+Rechner!$E$7)</f>
        <v/>
      </c>
      <c r="D334">
        <f>J333</f>
        <v/>
      </c>
      <c r="E334">
        <f>IF(A334="",0,D334*C334/100/(DATE(YEAR(A334)+1,1,1)-DATE(YEAR(A334),1,1)))</f>
        <v/>
      </c>
      <c r="F334">
        <f>IF(A334="",0,SUMIF(Rechner!$A$12:$A$21,A334,Rechner!$B$12:$B$21))</f>
        <v/>
      </c>
      <c r="G334">
        <f>H333+E334</f>
        <v/>
      </c>
      <c r="H334">
        <f>G334-MIN(F334,G334)</f>
        <v/>
      </c>
      <c r="I334">
        <f>MIN(F334-MIN(F334,G334),D334)</f>
        <v/>
      </c>
      <c r="J334">
        <f>D334-I334</f>
        <v/>
      </c>
      <c r="K334">
        <f>F334-MIN(F334,G334)-I334</f>
        <v/>
      </c>
    </row>
    <row r="335">
      <c r="A335" s="21">
        <f>IF(Rechner!$E$4&lt;&gt;"ok","",IF(Rechner!$E$5+333&lt;=Rechner!$B$6,Rechner!$E$5+333,""))</f>
        <v/>
      </c>
      <c r="B335">
        <f>IF(A335="","",LOOKUP(A335,Basiszins!$A$5:$A$18,Basiszins!$B$5:$B$18))</f>
        <v/>
      </c>
      <c r="C335">
        <f>IF(A335="","",B335+Rechner!$E$7)</f>
        <v/>
      </c>
      <c r="D335">
        <f>J334</f>
        <v/>
      </c>
      <c r="E335">
        <f>IF(A335="",0,D335*C335/100/(DATE(YEAR(A335)+1,1,1)-DATE(YEAR(A335),1,1)))</f>
        <v/>
      </c>
      <c r="F335">
        <f>IF(A335="",0,SUMIF(Rechner!$A$12:$A$21,A335,Rechner!$B$12:$B$21))</f>
        <v/>
      </c>
      <c r="G335">
        <f>H334+E335</f>
        <v/>
      </c>
      <c r="H335">
        <f>G335-MIN(F335,G335)</f>
        <v/>
      </c>
      <c r="I335">
        <f>MIN(F335-MIN(F335,G335),D335)</f>
        <v/>
      </c>
      <c r="J335">
        <f>D335-I335</f>
        <v/>
      </c>
      <c r="K335">
        <f>F335-MIN(F335,G335)-I335</f>
        <v/>
      </c>
    </row>
    <row r="336">
      <c r="A336" s="21">
        <f>IF(Rechner!$E$4&lt;&gt;"ok","",IF(Rechner!$E$5+334&lt;=Rechner!$B$6,Rechner!$E$5+334,""))</f>
        <v/>
      </c>
      <c r="B336">
        <f>IF(A336="","",LOOKUP(A336,Basiszins!$A$5:$A$18,Basiszins!$B$5:$B$18))</f>
        <v/>
      </c>
      <c r="C336">
        <f>IF(A336="","",B336+Rechner!$E$7)</f>
        <v/>
      </c>
      <c r="D336">
        <f>J335</f>
        <v/>
      </c>
      <c r="E336">
        <f>IF(A336="",0,D336*C336/100/(DATE(YEAR(A336)+1,1,1)-DATE(YEAR(A336),1,1)))</f>
        <v/>
      </c>
      <c r="F336">
        <f>IF(A336="",0,SUMIF(Rechner!$A$12:$A$21,A336,Rechner!$B$12:$B$21))</f>
        <v/>
      </c>
      <c r="G336">
        <f>H335+E336</f>
        <v/>
      </c>
      <c r="H336">
        <f>G336-MIN(F336,G336)</f>
        <v/>
      </c>
      <c r="I336">
        <f>MIN(F336-MIN(F336,G336),D336)</f>
        <v/>
      </c>
      <c r="J336">
        <f>D336-I336</f>
        <v/>
      </c>
      <c r="K336">
        <f>F336-MIN(F336,G336)-I336</f>
        <v/>
      </c>
    </row>
    <row r="337">
      <c r="A337" s="21">
        <f>IF(Rechner!$E$4&lt;&gt;"ok","",IF(Rechner!$E$5+335&lt;=Rechner!$B$6,Rechner!$E$5+335,""))</f>
        <v/>
      </c>
      <c r="B337">
        <f>IF(A337="","",LOOKUP(A337,Basiszins!$A$5:$A$18,Basiszins!$B$5:$B$18))</f>
        <v/>
      </c>
      <c r="C337">
        <f>IF(A337="","",B337+Rechner!$E$7)</f>
        <v/>
      </c>
      <c r="D337">
        <f>J336</f>
        <v/>
      </c>
      <c r="E337">
        <f>IF(A337="",0,D337*C337/100/(DATE(YEAR(A337)+1,1,1)-DATE(YEAR(A337),1,1)))</f>
        <v/>
      </c>
      <c r="F337">
        <f>IF(A337="",0,SUMIF(Rechner!$A$12:$A$21,A337,Rechner!$B$12:$B$21))</f>
        <v/>
      </c>
      <c r="G337">
        <f>H336+E337</f>
        <v/>
      </c>
      <c r="H337">
        <f>G337-MIN(F337,G337)</f>
        <v/>
      </c>
      <c r="I337">
        <f>MIN(F337-MIN(F337,G337),D337)</f>
        <v/>
      </c>
      <c r="J337">
        <f>D337-I337</f>
        <v/>
      </c>
      <c r="K337">
        <f>F337-MIN(F337,G337)-I337</f>
        <v/>
      </c>
    </row>
    <row r="338">
      <c r="A338" s="21">
        <f>IF(Rechner!$E$4&lt;&gt;"ok","",IF(Rechner!$E$5+336&lt;=Rechner!$B$6,Rechner!$E$5+336,""))</f>
        <v/>
      </c>
      <c r="B338">
        <f>IF(A338="","",LOOKUP(A338,Basiszins!$A$5:$A$18,Basiszins!$B$5:$B$18))</f>
        <v/>
      </c>
      <c r="C338">
        <f>IF(A338="","",B338+Rechner!$E$7)</f>
        <v/>
      </c>
      <c r="D338">
        <f>J337</f>
        <v/>
      </c>
      <c r="E338">
        <f>IF(A338="",0,D338*C338/100/(DATE(YEAR(A338)+1,1,1)-DATE(YEAR(A338),1,1)))</f>
        <v/>
      </c>
      <c r="F338">
        <f>IF(A338="",0,SUMIF(Rechner!$A$12:$A$21,A338,Rechner!$B$12:$B$21))</f>
        <v/>
      </c>
      <c r="G338">
        <f>H337+E338</f>
        <v/>
      </c>
      <c r="H338">
        <f>G338-MIN(F338,G338)</f>
        <v/>
      </c>
      <c r="I338">
        <f>MIN(F338-MIN(F338,G338),D338)</f>
        <v/>
      </c>
      <c r="J338">
        <f>D338-I338</f>
        <v/>
      </c>
      <c r="K338">
        <f>F338-MIN(F338,G338)-I338</f>
        <v/>
      </c>
    </row>
    <row r="339">
      <c r="A339" s="21">
        <f>IF(Rechner!$E$4&lt;&gt;"ok","",IF(Rechner!$E$5+337&lt;=Rechner!$B$6,Rechner!$E$5+337,""))</f>
        <v/>
      </c>
      <c r="B339">
        <f>IF(A339="","",LOOKUP(A339,Basiszins!$A$5:$A$18,Basiszins!$B$5:$B$18))</f>
        <v/>
      </c>
      <c r="C339">
        <f>IF(A339="","",B339+Rechner!$E$7)</f>
        <v/>
      </c>
      <c r="D339">
        <f>J338</f>
        <v/>
      </c>
      <c r="E339">
        <f>IF(A339="",0,D339*C339/100/(DATE(YEAR(A339)+1,1,1)-DATE(YEAR(A339),1,1)))</f>
        <v/>
      </c>
      <c r="F339">
        <f>IF(A339="",0,SUMIF(Rechner!$A$12:$A$21,A339,Rechner!$B$12:$B$21))</f>
        <v/>
      </c>
      <c r="G339">
        <f>H338+E339</f>
        <v/>
      </c>
      <c r="H339">
        <f>G339-MIN(F339,G339)</f>
        <v/>
      </c>
      <c r="I339">
        <f>MIN(F339-MIN(F339,G339),D339)</f>
        <v/>
      </c>
      <c r="J339">
        <f>D339-I339</f>
        <v/>
      </c>
      <c r="K339">
        <f>F339-MIN(F339,G339)-I339</f>
        <v/>
      </c>
    </row>
    <row r="340">
      <c r="A340" s="21">
        <f>IF(Rechner!$E$4&lt;&gt;"ok","",IF(Rechner!$E$5+338&lt;=Rechner!$B$6,Rechner!$E$5+338,""))</f>
        <v/>
      </c>
      <c r="B340">
        <f>IF(A340="","",LOOKUP(A340,Basiszins!$A$5:$A$18,Basiszins!$B$5:$B$18))</f>
        <v/>
      </c>
      <c r="C340">
        <f>IF(A340="","",B340+Rechner!$E$7)</f>
        <v/>
      </c>
      <c r="D340">
        <f>J339</f>
        <v/>
      </c>
      <c r="E340">
        <f>IF(A340="",0,D340*C340/100/(DATE(YEAR(A340)+1,1,1)-DATE(YEAR(A340),1,1)))</f>
        <v/>
      </c>
      <c r="F340">
        <f>IF(A340="",0,SUMIF(Rechner!$A$12:$A$21,A340,Rechner!$B$12:$B$21))</f>
        <v/>
      </c>
      <c r="G340">
        <f>H339+E340</f>
        <v/>
      </c>
      <c r="H340">
        <f>G340-MIN(F340,G340)</f>
        <v/>
      </c>
      <c r="I340">
        <f>MIN(F340-MIN(F340,G340),D340)</f>
        <v/>
      </c>
      <c r="J340">
        <f>D340-I340</f>
        <v/>
      </c>
      <c r="K340">
        <f>F340-MIN(F340,G340)-I340</f>
        <v/>
      </c>
    </row>
    <row r="341">
      <c r="A341" s="21">
        <f>IF(Rechner!$E$4&lt;&gt;"ok","",IF(Rechner!$E$5+339&lt;=Rechner!$B$6,Rechner!$E$5+339,""))</f>
        <v/>
      </c>
      <c r="B341">
        <f>IF(A341="","",LOOKUP(A341,Basiszins!$A$5:$A$18,Basiszins!$B$5:$B$18))</f>
        <v/>
      </c>
      <c r="C341">
        <f>IF(A341="","",B341+Rechner!$E$7)</f>
        <v/>
      </c>
      <c r="D341">
        <f>J340</f>
        <v/>
      </c>
      <c r="E341">
        <f>IF(A341="",0,D341*C341/100/(DATE(YEAR(A341)+1,1,1)-DATE(YEAR(A341),1,1)))</f>
        <v/>
      </c>
      <c r="F341">
        <f>IF(A341="",0,SUMIF(Rechner!$A$12:$A$21,A341,Rechner!$B$12:$B$21))</f>
        <v/>
      </c>
      <c r="G341">
        <f>H340+E341</f>
        <v/>
      </c>
      <c r="H341">
        <f>G341-MIN(F341,G341)</f>
        <v/>
      </c>
      <c r="I341">
        <f>MIN(F341-MIN(F341,G341),D341)</f>
        <v/>
      </c>
      <c r="J341">
        <f>D341-I341</f>
        <v/>
      </c>
      <c r="K341">
        <f>F341-MIN(F341,G341)-I341</f>
        <v/>
      </c>
    </row>
    <row r="342">
      <c r="A342" s="21">
        <f>IF(Rechner!$E$4&lt;&gt;"ok","",IF(Rechner!$E$5+340&lt;=Rechner!$B$6,Rechner!$E$5+340,""))</f>
        <v/>
      </c>
      <c r="B342">
        <f>IF(A342="","",LOOKUP(A342,Basiszins!$A$5:$A$18,Basiszins!$B$5:$B$18))</f>
        <v/>
      </c>
      <c r="C342">
        <f>IF(A342="","",B342+Rechner!$E$7)</f>
        <v/>
      </c>
      <c r="D342">
        <f>J341</f>
        <v/>
      </c>
      <c r="E342">
        <f>IF(A342="",0,D342*C342/100/(DATE(YEAR(A342)+1,1,1)-DATE(YEAR(A342),1,1)))</f>
        <v/>
      </c>
      <c r="F342">
        <f>IF(A342="",0,SUMIF(Rechner!$A$12:$A$21,A342,Rechner!$B$12:$B$21))</f>
        <v/>
      </c>
      <c r="G342">
        <f>H341+E342</f>
        <v/>
      </c>
      <c r="H342">
        <f>G342-MIN(F342,G342)</f>
        <v/>
      </c>
      <c r="I342">
        <f>MIN(F342-MIN(F342,G342),D342)</f>
        <v/>
      </c>
      <c r="J342">
        <f>D342-I342</f>
        <v/>
      </c>
      <c r="K342">
        <f>F342-MIN(F342,G342)-I342</f>
        <v/>
      </c>
    </row>
    <row r="343">
      <c r="A343" s="21">
        <f>IF(Rechner!$E$4&lt;&gt;"ok","",IF(Rechner!$E$5+341&lt;=Rechner!$B$6,Rechner!$E$5+341,""))</f>
        <v/>
      </c>
      <c r="B343">
        <f>IF(A343="","",LOOKUP(A343,Basiszins!$A$5:$A$18,Basiszins!$B$5:$B$18))</f>
        <v/>
      </c>
      <c r="C343">
        <f>IF(A343="","",B343+Rechner!$E$7)</f>
        <v/>
      </c>
      <c r="D343">
        <f>J342</f>
        <v/>
      </c>
      <c r="E343">
        <f>IF(A343="",0,D343*C343/100/(DATE(YEAR(A343)+1,1,1)-DATE(YEAR(A343),1,1)))</f>
        <v/>
      </c>
      <c r="F343">
        <f>IF(A343="",0,SUMIF(Rechner!$A$12:$A$21,A343,Rechner!$B$12:$B$21))</f>
        <v/>
      </c>
      <c r="G343">
        <f>H342+E343</f>
        <v/>
      </c>
      <c r="H343">
        <f>G343-MIN(F343,G343)</f>
        <v/>
      </c>
      <c r="I343">
        <f>MIN(F343-MIN(F343,G343),D343)</f>
        <v/>
      </c>
      <c r="J343">
        <f>D343-I343</f>
        <v/>
      </c>
      <c r="K343">
        <f>F343-MIN(F343,G343)-I343</f>
        <v/>
      </c>
    </row>
    <row r="344">
      <c r="A344" s="21">
        <f>IF(Rechner!$E$4&lt;&gt;"ok","",IF(Rechner!$E$5+342&lt;=Rechner!$B$6,Rechner!$E$5+342,""))</f>
        <v/>
      </c>
      <c r="B344">
        <f>IF(A344="","",LOOKUP(A344,Basiszins!$A$5:$A$18,Basiszins!$B$5:$B$18))</f>
        <v/>
      </c>
      <c r="C344">
        <f>IF(A344="","",B344+Rechner!$E$7)</f>
        <v/>
      </c>
      <c r="D344">
        <f>J343</f>
        <v/>
      </c>
      <c r="E344">
        <f>IF(A344="",0,D344*C344/100/(DATE(YEAR(A344)+1,1,1)-DATE(YEAR(A344),1,1)))</f>
        <v/>
      </c>
      <c r="F344">
        <f>IF(A344="",0,SUMIF(Rechner!$A$12:$A$21,A344,Rechner!$B$12:$B$21))</f>
        <v/>
      </c>
      <c r="G344">
        <f>H343+E344</f>
        <v/>
      </c>
      <c r="H344">
        <f>G344-MIN(F344,G344)</f>
        <v/>
      </c>
      <c r="I344">
        <f>MIN(F344-MIN(F344,G344),D344)</f>
        <v/>
      </c>
      <c r="J344">
        <f>D344-I344</f>
        <v/>
      </c>
      <c r="K344">
        <f>F344-MIN(F344,G344)-I344</f>
        <v/>
      </c>
    </row>
    <row r="345">
      <c r="A345" s="21">
        <f>IF(Rechner!$E$4&lt;&gt;"ok","",IF(Rechner!$E$5+343&lt;=Rechner!$B$6,Rechner!$E$5+343,""))</f>
        <v/>
      </c>
      <c r="B345">
        <f>IF(A345="","",LOOKUP(A345,Basiszins!$A$5:$A$18,Basiszins!$B$5:$B$18))</f>
        <v/>
      </c>
      <c r="C345">
        <f>IF(A345="","",B345+Rechner!$E$7)</f>
        <v/>
      </c>
      <c r="D345">
        <f>J344</f>
        <v/>
      </c>
      <c r="E345">
        <f>IF(A345="",0,D345*C345/100/(DATE(YEAR(A345)+1,1,1)-DATE(YEAR(A345),1,1)))</f>
        <v/>
      </c>
      <c r="F345">
        <f>IF(A345="",0,SUMIF(Rechner!$A$12:$A$21,A345,Rechner!$B$12:$B$21))</f>
        <v/>
      </c>
      <c r="G345">
        <f>H344+E345</f>
        <v/>
      </c>
      <c r="H345">
        <f>G345-MIN(F345,G345)</f>
        <v/>
      </c>
      <c r="I345">
        <f>MIN(F345-MIN(F345,G345),D345)</f>
        <v/>
      </c>
      <c r="J345">
        <f>D345-I345</f>
        <v/>
      </c>
      <c r="K345">
        <f>F345-MIN(F345,G345)-I345</f>
        <v/>
      </c>
    </row>
    <row r="346">
      <c r="A346" s="21">
        <f>IF(Rechner!$E$4&lt;&gt;"ok","",IF(Rechner!$E$5+344&lt;=Rechner!$B$6,Rechner!$E$5+344,""))</f>
        <v/>
      </c>
      <c r="B346">
        <f>IF(A346="","",LOOKUP(A346,Basiszins!$A$5:$A$18,Basiszins!$B$5:$B$18))</f>
        <v/>
      </c>
      <c r="C346">
        <f>IF(A346="","",B346+Rechner!$E$7)</f>
        <v/>
      </c>
      <c r="D346">
        <f>J345</f>
        <v/>
      </c>
      <c r="E346">
        <f>IF(A346="",0,D346*C346/100/(DATE(YEAR(A346)+1,1,1)-DATE(YEAR(A346),1,1)))</f>
        <v/>
      </c>
      <c r="F346">
        <f>IF(A346="",0,SUMIF(Rechner!$A$12:$A$21,A346,Rechner!$B$12:$B$21))</f>
        <v/>
      </c>
      <c r="G346">
        <f>H345+E346</f>
        <v/>
      </c>
      <c r="H346">
        <f>G346-MIN(F346,G346)</f>
        <v/>
      </c>
      <c r="I346">
        <f>MIN(F346-MIN(F346,G346),D346)</f>
        <v/>
      </c>
      <c r="J346">
        <f>D346-I346</f>
        <v/>
      </c>
      <c r="K346">
        <f>F346-MIN(F346,G346)-I346</f>
        <v/>
      </c>
    </row>
    <row r="347">
      <c r="A347" s="21">
        <f>IF(Rechner!$E$4&lt;&gt;"ok","",IF(Rechner!$E$5+345&lt;=Rechner!$B$6,Rechner!$E$5+345,""))</f>
        <v/>
      </c>
      <c r="B347">
        <f>IF(A347="","",LOOKUP(A347,Basiszins!$A$5:$A$18,Basiszins!$B$5:$B$18))</f>
        <v/>
      </c>
      <c r="C347">
        <f>IF(A347="","",B347+Rechner!$E$7)</f>
        <v/>
      </c>
      <c r="D347">
        <f>J346</f>
        <v/>
      </c>
      <c r="E347">
        <f>IF(A347="",0,D347*C347/100/(DATE(YEAR(A347)+1,1,1)-DATE(YEAR(A347),1,1)))</f>
        <v/>
      </c>
      <c r="F347">
        <f>IF(A347="",0,SUMIF(Rechner!$A$12:$A$21,A347,Rechner!$B$12:$B$21))</f>
        <v/>
      </c>
      <c r="G347">
        <f>H346+E347</f>
        <v/>
      </c>
      <c r="H347">
        <f>G347-MIN(F347,G347)</f>
        <v/>
      </c>
      <c r="I347">
        <f>MIN(F347-MIN(F347,G347),D347)</f>
        <v/>
      </c>
      <c r="J347">
        <f>D347-I347</f>
        <v/>
      </c>
      <c r="K347">
        <f>F347-MIN(F347,G347)-I347</f>
        <v/>
      </c>
    </row>
    <row r="348">
      <c r="A348" s="21">
        <f>IF(Rechner!$E$4&lt;&gt;"ok","",IF(Rechner!$E$5+346&lt;=Rechner!$B$6,Rechner!$E$5+346,""))</f>
        <v/>
      </c>
      <c r="B348">
        <f>IF(A348="","",LOOKUP(A348,Basiszins!$A$5:$A$18,Basiszins!$B$5:$B$18))</f>
        <v/>
      </c>
      <c r="C348">
        <f>IF(A348="","",B348+Rechner!$E$7)</f>
        <v/>
      </c>
      <c r="D348">
        <f>J347</f>
        <v/>
      </c>
      <c r="E348">
        <f>IF(A348="",0,D348*C348/100/(DATE(YEAR(A348)+1,1,1)-DATE(YEAR(A348),1,1)))</f>
        <v/>
      </c>
      <c r="F348">
        <f>IF(A348="",0,SUMIF(Rechner!$A$12:$A$21,A348,Rechner!$B$12:$B$21))</f>
        <v/>
      </c>
      <c r="G348">
        <f>H347+E348</f>
        <v/>
      </c>
      <c r="H348">
        <f>G348-MIN(F348,G348)</f>
        <v/>
      </c>
      <c r="I348">
        <f>MIN(F348-MIN(F348,G348),D348)</f>
        <v/>
      </c>
      <c r="J348">
        <f>D348-I348</f>
        <v/>
      </c>
      <c r="K348">
        <f>F348-MIN(F348,G348)-I348</f>
        <v/>
      </c>
    </row>
    <row r="349">
      <c r="A349" s="21">
        <f>IF(Rechner!$E$4&lt;&gt;"ok","",IF(Rechner!$E$5+347&lt;=Rechner!$B$6,Rechner!$E$5+347,""))</f>
        <v/>
      </c>
      <c r="B349">
        <f>IF(A349="","",LOOKUP(A349,Basiszins!$A$5:$A$18,Basiszins!$B$5:$B$18))</f>
        <v/>
      </c>
      <c r="C349">
        <f>IF(A349="","",B349+Rechner!$E$7)</f>
        <v/>
      </c>
      <c r="D349">
        <f>J348</f>
        <v/>
      </c>
      <c r="E349">
        <f>IF(A349="",0,D349*C349/100/(DATE(YEAR(A349)+1,1,1)-DATE(YEAR(A349),1,1)))</f>
        <v/>
      </c>
      <c r="F349">
        <f>IF(A349="",0,SUMIF(Rechner!$A$12:$A$21,A349,Rechner!$B$12:$B$21))</f>
        <v/>
      </c>
      <c r="G349">
        <f>H348+E349</f>
        <v/>
      </c>
      <c r="H349">
        <f>G349-MIN(F349,G349)</f>
        <v/>
      </c>
      <c r="I349">
        <f>MIN(F349-MIN(F349,G349),D349)</f>
        <v/>
      </c>
      <c r="J349">
        <f>D349-I349</f>
        <v/>
      </c>
      <c r="K349">
        <f>F349-MIN(F349,G349)-I349</f>
        <v/>
      </c>
    </row>
    <row r="350">
      <c r="A350" s="21">
        <f>IF(Rechner!$E$4&lt;&gt;"ok","",IF(Rechner!$E$5+348&lt;=Rechner!$B$6,Rechner!$E$5+348,""))</f>
        <v/>
      </c>
      <c r="B350">
        <f>IF(A350="","",LOOKUP(A350,Basiszins!$A$5:$A$18,Basiszins!$B$5:$B$18))</f>
        <v/>
      </c>
      <c r="C350">
        <f>IF(A350="","",B350+Rechner!$E$7)</f>
        <v/>
      </c>
      <c r="D350">
        <f>J349</f>
        <v/>
      </c>
      <c r="E350">
        <f>IF(A350="",0,D350*C350/100/(DATE(YEAR(A350)+1,1,1)-DATE(YEAR(A350),1,1)))</f>
        <v/>
      </c>
      <c r="F350">
        <f>IF(A350="",0,SUMIF(Rechner!$A$12:$A$21,A350,Rechner!$B$12:$B$21))</f>
        <v/>
      </c>
      <c r="G350">
        <f>H349+E350</f>
        <v/>
      </c>
      <c r="H350">
        <f>G350-MIN(F350,G350)</f>
        <v/>
      </c>
      <c r="I350">
        <f>MIN(F350-MIN(F350,G350),D350)</f>
        <v/>
      </c>
      <c r="J350">
        <f>D350-I350</f>
        <v/>
      </c>
      <c r="K350">
        <f>F350-MIN(F350,G350)-I350</f>
        <v/>
      </c>
    </row>
    <row r="351">
      <c r="A351" s="21">
        <f>IF(Rechner!$E$4&lt;&gt;"ok","",IF(Rechner!$E$5+349&lt;=Rechner!$B$6,Rechner!$E$5+349,""))</f>
        <v/>
      </c>
      <c r="B351">
        <f>IF(A351="","",LOOKUP(A351,Basiszins!$A$5:$A$18,Basiszins!$B$5:$B$18))</f>
        <v/>
      </c>
      <c r="C351">
        <f>IF(A351="","",B351+Rechner!$E$7)</f>
        <v/>
      </c>
      <c r="D351">
        <f>J350</f>
        <v/>
      </c>
      <c r="E351">
        <f>IF(A351="",0,D351*C351/100/(DATE(YEAR(A351)+1,1,1)-DATE(YEAR(A351),1,1)))</f>
        <v/>
      </c>
      <c r="F351">
        <f>IF(A351="",0,SUMIF(Rechner!$A$12:$A$21,A351,Rechner!$B$12:$B$21))</f>
        <v/>
      </c>
      <c r="G351">
        <f>H350+E351</f>
        <v/>
      </c>
      <c r="H351">
        <f>G351-MIN(F351,G351)</f>
        <v/>
      </c>
      <c r="I351">
        <f>MIN(F351-MIN(F351,G351),D351)</f>
        <v/>
      </c>
      <c r="J351">
        <f>D351-I351</f>
        <v/>
      </c>
      <c r="K351">
        <f>F351-MIN(F351,G351)-I351</f>
        <v/>
      </c>
    </row>
    <row r="352">
      <c r="A352" s="21">
        <f>IF(Rechner!$E$4&lt;&gt;"ok","",IF(Rechner!$E$5+350&lt;=Rechner!$B$6,Rechner!$E$5+350,""))</f>
        <v/>
      </c>
      <c r="B352">
        <f>IF(A352="","",LOOKUP(A352,Basiszins!$A$5:$A$18,Basiszins!$B$5:$B$18))</f>
        <v/>
      </c>
      <c r="C352">
        <f>IF(A352="","",B352+Rechner!$E$7)</f>
        <v/>
      </c>
      <c r="D352">
        <f>J351</f>
        <v/>
      </c>
      <c r="E352">
        <f>IF(A352="",0,D352*C352/100/(DATE(YEAR(A352)+1,1,1)-DATE(YEAR(A352),1,1)))</f>
        <v/>
      </c>
      <c r="F352">
        <f>IF(A352="",0,SUMIF(Rechner!$A$12:$A$21,A352,Rechner!$B$12:$B$21))</f>
        <v/>
      </c>
      <c r="G352">
        <f>H351+E352</f>
        <v/>
      </c>
      <c r="H352">
        <f>G352-MIN(F352,G352)</f>
        <v/>
      </c>
      <c r="I352">
        <f>MIN(F352-MIN(F352,G352),D352)</f>
        <v/>
      </c>
      <c r="J352">
        <f>D352-I352</f>
        <v/>
      </c>
      <c r="K352">
        <f>F352-MIN(F352,G352)-I352</f>
        <v/>
      </c>
    </row>
    <row r="353">
      <c r="A353" s="21">
        <f>IF(Rechner!$E$4&lt;&gt;"ok","",IF(Rechner!$E$5+351&lt;=Rechner!$B$6,Rechner!$E$5+351,""))</f>
        <v/>
      </c>
      <c r="B353">
        <f>IF(A353="","",LOOKUP(A353,Basiszins!$A$5:$A$18,Basiszins!$B$5:$B$18))</f>
        <v/>
      </c>
      <c r="C353">
        <f>IF(A353="","",B353+Rechner!$E$7)</f>
        <v/>
      </c>
      <c r="D353">
        <f>J352</f>
        <v/>
      </c>
      <c r="E353">
        <f>IF(A353="",0,D353*C353/100/(DATE(YEAR(A353)+1,1,1)-DATE(YEAR(A353),1,1)))</f>
        <v/>
      </c>
      <c r="F353">
        <f>IF(A353="",0,SUMIF(Rechner!$A$12:$A$21,A353,Rechner!$B$12:$B$21))</f>
        <v/>
      </c>
      <c r="G353">
        <f>H352+E353</f>
        <v/>
      </c>
      <c r="H353">
        <f>G353-MIN(F353,G353)</f>
        <v/>
      </c>
      <c r="I353">
        <f>MIN(F353-MIN(F353,G353),D353)</f>
        <v/>
      </c>
      <c r="J353">
        <f>D353-I353</f>
        <v/>
      </c>
      <c r="K353">
        <f>F353-MIN(F353,G353)-I353</f>
        <v/>
      </c>
    </row>
    <row r="354">
      <c r="A354" s="21">
        <f>IF(Rechner!$E$4&lt;&gt;"ok","",IF(Rechner!$E$5+352&lt;=Rechner!$B$6,Rechner!$E$5+352,""))</f>
        <v/>
      </c>
      <c r="B354">
        <f>IF(A354="","",LOOKUP(A354,Basiszins!$A$5:$A$18,Basiszins!$B$5:$B$18))</f>
        <v/>
      </c>
      <c r="C354">
        <f>IF(A354="","",B354+Rechner!$E$7)</f>
        <v/>
      </c>
      <c r="D354">
        <f>J353</f>
        <v/>
      </c>
      <c r="E354">
        <f>IF(A354="",0,D354*C354/100/(DATE(YEAR(A354)+1,1,1)-DATE(YEAR(A354),1,1)))</f>
        <v/>
      </c>
      <c r="F354">
        <f>IF(A354="",0,SUMIF(Rechner!$A$12:$A$21,A354,Rechner!$B$12:$B$21))</f>
        <v/>
      </c>
      <c r="G354">
        <f>H353+E354</f>
        <v/>
      </c>
      <c r="H354">
        <f>G354-MIN(F354,G354)</f>
        <v/>
      </c>
      <c r="I354">
        <f>MIN(F354-MIN(F354,G354),D354)</f>
        <v/>
      </c>
      <c r="J354">
        <f>D354-I354</f>
        <v/>
      </c>
      <c r="K354">
        <f>F354-MIN(F354,G354)-I354</f>
        <v/>
      </c>
    </row>
    <row r="355">
      <c r="A355" s="21">
        <f>IF(Rechner!$E$4&lt;&gt;"ok","",IF(Rechner!$E$5+353&lt;=Rechner!$B$6,Rechner!$E$5+353,""))</f>
        <v/>
      </c>
      <c r="B355">
        <f>IF(A355="","",LOOKUP(A355,Basiszins!$A$5:$A$18,Basiszins!$B$5:$B$18))</f>
        <v/>
      </c>
      <c r="C355">
        <f>IF(A355="","",B355+Rechner!$E$7)</f>
        <v/>
      </c>
      <c r="D355">
        <f>J354</f>
        <v/>
      </c>
      <c r="E355">
        <f>IF(A355="",0,D355*C355/100/(DATE(YEAR(A355)+1,1,1)-DATE(YEAR(A355),1,1)))</f>
        <v/>
      </c>
      <c r="F355">
        <f>IF(A355="",0,SUMIF(Rechner!$A$12:$A$21,A355,Rechner!$B$12:$B$21))</f>
        <v/>
      </c>
      <c r="G355">
        <f>H354+E355</f>
        <v/>
      </c>
      <c r="H355">
        <f>G355-MIN(F355,G355)</f>
        <v/>
      </c>
      <c r="I355">
        <f>MIN(F355-MIN(F355,G355),D355)</f>
        <v/>
      </c>
      <c r="J355">
        <f>D355-I355</f>
        <v/>
      </c>
      <c r="K355">
        <f>F355-MIN(F355,G355)-I355</f>
        <v/>
      </c>
    </row>
    <row r="356">
      <c r="A356" s="21">
        <f>IF(Rechner!$E$4&lt;&gt;"ok","",IF(Rechner!$E$5+354&lt;=Rechner!$B$6,Rechner!$E$5+354,""))</f>
        <v/>
      </c>
      <c r="B356">
        <f>IF(A356="","",LOOKUP(A356,Basiszins!$A$5:$A$18,Basiszins!$B$5:$B$18))</f>
        <v/>
      </c>
      <c r="C356">
        <f>IF(A356="","",B356+Rechner!$E$7)</f>
        <v/>
      </c>
      <c r="D356">
        <f>J355</f>
        <v/>
      </c>
      <c r="E356">
        <f>IF(A356="",0,D356*C356/100/(DATE(YEAR(A356)+1,1,1)-DATE(YEAR(A356),1,1)))</f>
        <v/>
      </c>
      <c r="F356">
        <f>IF(A356="",0,SUMIF(Rechner!$A$12:$A$21,A356,Rechner!$B$12:$B$21))</f>
        <v/>
      </c>
      <c r="G356">
        <f>H355+E356</f>
        <v/>
      </c>
      <c r="H356">
        <f>G356-MIN(F356,G356)</f>
        <v/>
      </c>
      <c r="I356">
        <f>MIN(F356-MIN(F356,G356),D356)</f>
        <v/>
      </c>
      <c r="J356">
        <f>D356-I356</f>
        <v/>
      </c>
      <c r="K356">
        <f>F356-MIN(F356,G356)-I356</f>
        <v/>
      </c>
    </row>
    <row r="357">
      <c r="A357" s="21">
        <f>IF(Rechner!$E$4&lt;&gt;"ok","",IF(Rechner!$E$5+355&lt;=Rechner!$B$6,Rechner!$E$5+355,""))</f>
        <v/>
      </c>
      <c r="B357">
        <f>IF(A357="","",LOOKUP(A357,Basiszins!$A$5:$A$18,Basiszins!$B$5:$B$18))</f>
        <v/>
      </c>
      <c r="C357">
        <f>IF(A357="","",B357+Rechner!$E$7)</f>
        <v/>
      </c>
      <c r="D357">
        <f>J356</f>
        <v/>
      </c>
      <c r="E357">
        <f>IF(A357="",0,D357*C357/100/(DATE(YEAR(A357)+1,1,1)-DATE(YEAR(A357),1,1)))</f>
        <v/>
      </c>
      <c r="F357">
        <f>IF(A357="",0,SUMIF(Rechner!$A$12:$A$21,A357,Rechner!$B$12:$B$21))</f>
        <v/>
      </c>
      <c r="G357">
        <f>H356+E357</f>
        <v/>
      </c>
      <c r="H357">
        <f>G357-MIN(F357,G357)</f>
        <v/>
      </c>
      <c r="I357">
        <f>MIN(F357-MIN(F357,G357),D357)</f>
        <v/>
      </c>
      <c r="J357">
        <f>D357-I357</f>
        <v/>
      </c>
      <c r="K357">
        <f>F357-MIN(F357,G357)-I357</f>
        <v/>
      </c>
    </row>
    <row r="358">
      <c r="A358" s="21">
        <f>IF(Rechner!$E$4&lt;&gt;"ok","",IF(Rechner!$E$5+356&lt;=Rechner!$B$6,Rechner!$E$5+356,""))</f>
        <v/>
      </c>
      <c r="B358">
        <f>IF(A358="","",LOOKUP(A358,Basiszins!$A$5:$A$18,Basiszins!$B$5:$B$18))</f>
        <v/>
      </c>
      <c r="C358">
        <f>IF(A358="","",B358+Rechner!$E$7)</f>
        <v/>
      </c>
      <c r="D358">
        <f>J357</f>
        <v/>
      </c>
      <c r="E358">
        <f>IF(A358="",0,D358*C358/100/(DATE(YEAR(A358)+1,1,1)-DATE(YEAR(A358),1,1)))</f>
        <v/>
      </c>
      <c r="F358">
        <f>IF(A358="",0,SUMIF(Rechner!$A$12:$A$21,A358,Rechner!$B$12:$B$21))</f>
        <v/>
      </c>
      <c r="G358">
        <f>H357+E358</f>
        <v/>
      </c>
      <c r="H358">
        <f>G358-MIN(F358,G358)</f>
        <v/>
      </c>
      <c r="I358">
        <f>MIN(F358-MIN(F358,G358),D358)</f>
        <v/>
      </c>
      <c r="J358">
        <f>D358-I358</f>
        <v/>
      </c>
      <c r="K358">
        <f>F358-MIN(F358,G358)-I358</f>
        <v/>
      </c>
    </row>
    <row r="359">
      <c r="A359" s="21">
        <f>IF(Rechner!$E$4&lt;&gt;"ok","",IF(Rechner!$E$5+357&lt;=Rechner!$B$6,Rechner!$E$5+357,""))</f>
        <v/>
      </c>
      <c r="B359">
        <f>IF(A359="","",LOOKUP(A359,Basiszins!$A$5:$A$18,Basiszins!$B$5:$B$18))</f>
        <v/>
      </c>
      <c r="C359">
        <f>IF(A359="","",B359+Rechner!$E$7)</f>
        <v/>
      </c>
      <c r="D359">
        <f>J358</f>
        <v/>
      </c>
      <c r="E359">
        <f>IF(A359="",0,D359*C359/100/(DATE(YEAR(A359)+1,1,1)-DATE(YEAR(A359),1,1)))</f>
        <v/>
      </c>
      <c r="F359">
        <f>IF(A359="",0,SUMIF(Rechner!$A$12:$A$21,A359,Rechner!$B$12:$B$21))</f>
        <v/>
      </c>
      <c r="G359">
        <f>H358+E359</f>
        <v/>
      </c>
      <c r="H359">
        <f>G359-MIN(F359,G359)</f>
        <v/>
      </c>
      <c r="I359">
        <f>MIN(F359-MIN(F359,G359),D359)</f>
        <v/>
      </c>
      <c r="J359">
        <f>D359-I359</f>
        <v/>
      </c>
      <c r="K359">
        <f>F359-MIN(F359,G359)-I359</f>
        <v/>
      </c>
    </row>
    <row r="360">
      <c r="A360" s="21">
        <f>IF(Rechner!$E$4&lt;&gt;"ok","",IF(Rechner!$E$5+358&lt;=Rechner!$B$6,Rechner!$E$5+358,""))</f>
        <v/>
      </c>
      <c r="B360">
        <f>IF(A360="","",LOOKUP(A360,Basiszins!$A$5:$A$18,Basiszins!$B$5:$B$18))</f>
        <v/>
      </c>
      <c r="C360">
        <f>IF(A360="","",B360+Rechner!$E$7)</f>
        <v/>
      </c>
      <c r="D360">
        <f>J359</f>
        <v/>
      </c>
      <c r="E360">
        <f>IF(A360="",0,D360*C360/100/(DATE(YEAR(A360)+1,1,1)-DATE(YEAR(A360),1,1)))</f>
        <v/>
      </c>
      <c r="F360">
        <f>IF(A360="",0,SUMIF(Rechner!$A$12:$A$21,A360,Rechner!$B$12:$B$21))</f>
        <v/>
      </c>
      <c r="G360">
        <f>H359+E360</f>
        <v/>
      </c>
      <c r="H360">
        <f>G360-MIN(F360,G360)</f>
        <v/>
      </c>
      <c r="I360">
        <f>MIN(F360-MIN(F360,G360),D360)</f>
        <v/>
      </c>
      <c r="J360">
        <f>D360-I360</f>
        <v/>
      </c>
      <c r="K360">
        <f>F360-MIN(F360,G360)-I360</f>
        <v/>
      </c>
    </row>
    <row r="361">
      <c r="A361" s="21">
        <f>IF(Rechner!$E$4&lt;&gt;"ok","",IF(Rechner!$E$5+359&lt;=Rechner!$B$6,Rechner!$E$5+359,""))</f>
        <v/>
      </c>
      <c r="B361">
        <f>IF(A361="","",LOOKUP(A361,Basiszins!$A$5:$A$18,Basiszins!$B$5:$B$18))</f>
        <v/>
      </c>
      <c r="C361">
        <f>IF(A361="","",B361+Rechner!$E$7)</f>
        <v/>
      </c>
      <c r="D361">
        <f>J360</f>
        <v/>
      </c>
      <c r="E361">
        <f>IF(A361="",0,D361*C361/100/(DATE(YEAR(A361)+1,1,1)-DATE(YEAR(A361),1,1)))</f>
        <v/>
      </c>
      <c r="F361">
        <f>IF(A361="",0,SUMIF(Rechner!$A$12:$A$21,A361,Rechner!$B$12:$B$21))</f>
        <v/>
      </c>
      <c r="G361">
        <f>H360+E361</f>
        <v/>
      </c>
      <c r="H361">
        <f>G361-MIN(F361,G361)</f>
        <v/>
      </c>
      <c r="I361">
        <f>MIN(F361-MIN(F361,G361),D361)</f>
        <v/>
      </c>
      <c r="J361">
        <f>D361-I361</f>
        <v/>
      </c>
      <c r="K361">
        <f>F361-MIN(F361,G361)-I361</f>
        <v/>
      </c>
    </row>
    <row r="362">
      <c r="A362" s="21">
        <f>IF(Rechner!$E$4&lt;&gt;"ok","",IF(Rechner!$E$5+360&lt;=Rechner!$B$6,Rechner!$E$5+360,""))</f>
        <v/>
      </c>
      <c r="B362">
        <f>IF(A362="","",LOOKUP(A362,Basiszins!$A$5:$A$18,Basiszins!$B$5:$B$18))</f>
        <v/>
      </c>
      <c r="C362">
        <f>IF(A362="","",B362+Rechner!$E$7)</f>
        <v/>
      </c>
      <c r="D362">
        <f>J361</f>
        <v/>
      </c>
      <c r="E362">
        <f>IF(A362="",0,D362*C362/100/(DATE(YEAR(A362)+1,1,1)-DATE(YEAR(A362),1,1)))</f>
        <v/>
      </c>
      <c r="F362">
        <f>IF(A362="",0,SUMIF(Rechner!$A$12:$A$21,A362,Rechner!$B$12:$B$21))</f>
        <v/>
      </c>
      <c r="G362">
        <f>H361+E362</f>
        <v/>
      </c>
      <c r="H362">
        <f>G362-MIN(F362,G362)</f>
        <v/>
      </c>
      <c r="I362">
        <f>MIN(F362-MIN(F362,G362),D362)</f>
        <v/>
      </c>
      <c r="J362">
        <f>D362-I362</f>
        <v/>
      </c>
      <c r="K362">
        <f>F362-MIN(F362,G362)-I362</f>
        <v/>
      </c>
    </row>
    <row r="363">
      <c r="A363" s="21">
        <f>IF(Rechner!$E$4&lt;&gt;"ok","",IF(Rechner!$E$5+361&lt;=Rechner!$B$6,Rechner!$E$5+361,""))</f>
        <v/>
      </c>
      <c r="B363">
        <f>IF(A363="","",LOOKUP(A363,Basiszins!$A$5:$A$18,Basiszins!$B$5:$B$18))</f>
        <v/>
      </c>
      <c r="C363">
        <f>IF(A363="","",B363+Rechner!$E$7)</f>
        <v/>
      </c>
      <c r="D363">
        <f>J362</f>
        <v/>
      </c>
      <c r="E363">
        <f>IF(A363="",0,D363*C363/100/(DATE(YEAR(A363)+1,1,1)-DATE(YEAR(A363),1,1)))</f>
        <v/>
      </c>
      <c r="F363">
        <f>IF(A363="",0,SUMIF(Rechner!$A$12:$A$21,A363,Rechner!$B$12:$B$21))</f>
        <v/>
      </c>
      <c r="G363">
        <f>H362+E363</f>
        <v/>
      </c>
      <c r="H363">
        <f>G363-MIN(F363,G363)</f>
        <v/>
      </c>
      <c r="I363">
        <f>MIN(F363-MIN(F363,G363),D363)</f>
        <v/>
      </c>
      <c r="J363">
        <f>D363-I363</f>
        <v/>
      </c>
      <c r="K363">
        <f>F363-MIN(F363,G363)-I363</f>
        <v/>
      </c>
    </row>
    <row r="364">
      <c r="A364" s="21">
        <f>IF(Rechner!$E$4&lt;&gt;"ok","",IF(Rechner!$E$5+362&lt;=Rechner!$B$6,Rechner!$E$5+362,""))</f>
        <v/>
      </c>
      <c r="B364">
        <f>IF(A364="","",LOOKUP(A364,Basiszins!$A$5:$A$18,Basiszins!$B$5:$B$18))</f>
        <v/>
      </c>
      <c r="C364">
        <f>IF(A364="","",B364+Rechner!$E$7)</f>
        <v/>
      </c>
      <c r="D364">
        <f>J363</f>
        <v/>
      </c>
      <c r="E364">
        <f>IF(A364="",0,D364*C364/100/(DATE(YEAR(A364)+1,1,1)-DATE(YEAR(A364),1,1)))</f>
        <v/>
      </c>
      <c r="F364">
        <f>IF(A364="",0,SUMIF(Rechner!$A$12:$A$21,A364,Rechner!$B$12:$B$21))</f>
        <v/>
      </c>
      <c r="G364">
        <f>H363+E364</f>
        <v/>
      </c>
      <c r="H364">
        <f>G364-MIN(F364,G364)</f>
        <v/>
      </c>
      <c r="I364">
        <f>MIN(F364-MIN(F364,G364),D364)</f>
        <v/>
      </c>
      <c r="J364">
        <f>D364-I364</f>
        <v/>
      </c>
      <c r="K364">
        <f>F364-MIN(F364,G364)-I364</f>
        <v/>
      </c>
    </row>
    <row r="365">
      <c r="A365" s="21">
        <f>IF(Rechner!$E$4&lt;&gt;"ok","",IF(Rechner!$E$5+363&lt;=Rechner!$B$6,Rechner!$E$5+363,""))</f>
        <v/>
      </c>
      <c r="B365">
        <f>IF(A365="","",LOOKUP(A365,Basiszins!$A$5:$A$18,Basiszins!$B$5:$B$18))</f>
        <v/>
      </c>
      <c r="C365">
        <f>IF(A365="","",B365+Rechner!$E$7)</f>
        <v/>
      </c>
      <c r="D365">
        <f>J364</f>
        <v/>
      </c>
      <c r="E365">
        <f>IF(A365="",0,D365*C365/100/(DATE(YEAR(A365)+1,1,1)-DATE(YEAR(A365),1,1)))</f>
        <v/>
      </c>
      <c r="F365">
        <f>IF(A365="",0,SUMIF(Rechner!$A$12:$A$21,A365,Rechner!$B$12:$B$21))</f>
        <v/>
      </c>
      <c r="G365">
        <f>H364+E365</f>
        <v/>
      </c>
      <c r="H365">
        <f>G365-MIN(F365,G365)</f>
        <v/>
      </c>
      <c r="I365">
        <f>MIN(F365-MIN(F365,G365),D365)</f>
        <v/>
      </c>
      <c r="J365">
        <f>D365-I365</f>
        <v/>
      </c>
      <c r="K365">
        <f>F365-MIN(F365,G365)-I365</f>
        <v/>
      </c>
    </row>
    <row r="366">
      <c r="A366" s="21">
        <f>IF(Rechner!$E$4&lt;&gt;"ok","",IF(Rechner!$E$5+364&lt;=Rechner!$B$6,Rechner!$E$5+364,""))</f>
        <v/>
      </c>
      <c r="B366">
        <f>IF(A366="","",LOOKUP(A366,Basiszins!$A$5:$A$18,Basiszins!$B$5:$B$18))</f>
        <v/>
      </c>
      <c r="C366">
        <f>IF(A366="","",B366+Rechner!$E$7)</f>
        <v/>
      </c>
      <c r="D366">
        <f>J365</f>
        <v/>
      </c>
      <c r="E366">
        <f>IF(A366="",0,D366*C366/100/(DATE(YEAR(A366)+1,1,1)-DATE(YEAR(A366),1,1)))</f>
        <v/>
      </c>
      <c r="F366">
        <f>IF(A366="",0,SUMIF(Rechner!$A$12:$A$21,A366,Rechner!$B$12:$B$21))</f>
        <v/>
      </c>
      <c r="G366">
        <f>H365+E366</f>
        <v/>
      </c>
      <c r="H366">
        <f>G366-MIN(F366,G366)</f>
        <v/>
      </c>
      <c r="I366">
        <f>MIN(F366-MIN(F366,G366),D366)</f>
        <v/>
      </c>
      <c r="J366">
        <f>D366-I366</f>
        <v/>
      </c>
      <c r="K366">
        <f>F366-MIN(F366,G366)-I366</f>
        <v/>
      </c>
    </row>
    <row r="367">
      <c r="A367" s="21">
        <f>IF(Rechner!$E$4&lt;&gt;"ok","",IF(Rechner!$E$5+365&lt;=Rechner!$B$6,Rechner!$E$5+365,""))</f>
        <v/>
      </c>
      <c r="B367">
        <f>IF(A367="","",LOOKUP(A367,Basiszins!$A$5:$A$18,Basiszins!$B$5:$B$18))</f>
        <v/>
      </c>
      <c r="C367">
        <f>IF(A367="","",B367+Rechner!$E$7)</f>
        <v/>
      </c>
      <c r="D367">
        <f>J366</f>
        <v/>
      </c>
      <c r="E367">
        <f>IF(A367="",0,D367*C367/100/(DATE(YEAR(A367)+1,1,1)-DATE(YEAR(A367),1,1)))</f>
        <v/>
      </c>
      <c r="F367">
        <f>IF(A367="",0,SUMIF(Rechner!$A$12:$A$21,A367,Rechner!$B$12:$B$21))</f>
        <v/>
      </c>
      <c r="G367">
        <f>H366+E367</f>
        <v/>
      </c>
      <c r="H367">
        <f>G367-MIN(F367,G367)</f>
        <v/>
      </c>
      <c r="I367">
        <f>MIN(F367-MIN(F367,G367),D367)</f>
        <v/>
      </c>
      <c r="J367">
        <f>D367-I367</f>
        <v/>
      </c>
      <c r="K367">
        <f>F367-MIN(F367,G367)-I367</f>
        <v/>
      </c>
    </row>
    <row r="368">
      <c r="A368" s="21">
        <f>IF(Rechner!$E$4&lt;&gt;"ok","",IF(Rechner!$E$5+366&lt;=Rechner!$B$6,Rechner!$E$5+366,""))</f>
        <v/>
      </c>
      <c r="B368">
        <f>IF(A368="","",LOOKUP(A368,Basiszins!$A$5:$A$18,Basiszins!$B$5:$B$18))</f>
        <v/>
      </c>
      <c r="C368">
        <f>IF(A368="","",B368+Rechner!$E$7)</f>
        <v/>
      </c>
      <c r="D368">
        <f>J367</f>
        <v/>
      </c>
      <c r="E368">
        <f>IF(A368="",0,D368*C368/100/(DATE(YEAR(A368)+1,1,1)-DATE(YEAR(A368),1,1)))</f>
        <v/>
      </c>
      <c r="F368">
        <f>IF(A368="",0,SUMIF(Rechner!$A$12:$A$21,A368,Rechner!$B$12:$B$21))</f>
        <v/>
      </c>
      <c r="G368">
        <f>H367+E368</f>
        <v/>
      </c>
      <c r="H368">
        <f>G368-MIN(F368,G368)</f>
        <v/>
      </c>
      <c r="I368">
        <f>MIN(F368-MIN(F368,G368),D368)</f>
        <v/>
      </c>
      <c r="J368">
        <f>D368-I368</f>
        <v/>
      </c>
      <c r="K368">
        <f>F368-MIN(F368,G368)-I368</f>
        <v/>
      </c>
    </row>
    <row r="369">
      <c r="A369" s="21">
        <f>IF(Rechner!$E$4&lt;&gt;"ok","",IF(Rechner!$E$5+367&lt;=Rechner!$B$6,Rechner!$E$5+367,""))</f>
        <v/>
      </c>
      <c r="B369">
        <f>IF(A369="","",LOOKUP(A369,Basiszins!$A$5:$A$18,Basiszins!$B$5:$B$18))</f>
        <v/>
      </c>
      <c r="C369">
        <f>IF(A369="","",B369+Rechner!$E$7)</f>
        <v/>
      </c>
      <c r="D369">
        <f>J368</f>
        <v/>
      </c>
      <c r="E369">
        <f>IF(A369="",0,D369*C369/100/(DATE(YEAR(A369)+1,1,1)-DATE(YEAR(A369),1,1)))</f>
        <v/>
      </c>
      <c r="F369">
        <f>IF(A369="",0,SUMIF(Rechner!$A$12:$A$21,A369,Rechner!$B$12:$B$21))</f>
        <v/>
      </c>
      <c r="G369">
        <f>H368+E369</f>
        <v/>
      </c>
      <c r="H369">
        <f>G369-MIN(F369,G369)</f>
        <v/>
      </c>
      <c r="I369">
        <f>MIN(F369-MIN(F369,G369),D369)</f>
        <v/>
      </c>
      <c r="J369">
        <f>D369-I369</f>
        <v/>
      </c>
      <c r="K369">
        <f>F369-MIN(F369,G369)-I369</f>
        <v/>
      </c>
    </row>
    <row r="370">
      <c r="A370" s="21">
        <f>IF(Rechner!$E$4&lt;&gt;"ok","",IF(Rechner!$E$5+368&lt;=Rechner!$B$6,Rechner!$E$5+368,""))</f>
        <v/>
      </c>
      <c r="B370">
        <f>IF(A370="","",LOOKUP(A370,Basiszins!$A$5:$A$18,Basiszins!$B$5:$B$18))</f>
        <v/>
      </c>
      <c r="C370">
        <f>IF(A370="","",B370+Rechner!$E$7)</f>
        <v/>
      </c>
      <c r="D370">
        <f>J369</f>
        <v/>
      </c>
      <c r="E370">
        <f>IF(A370="",0,D370*C370/100/(DATE(YEAR(A370)+1,1,1)-DATE(YEAR(A370),1,1)))</f>
        <v/>
      </c>
      <c r="F370">
        <f>IF(A370="",0,SUMIF(Rechner!$A$12:$A$21,A370,Rechner!$B$12:$B$21))</f>
        <v/>
      </c>
      <c r="G370">
        <f>H369+E370</f>
        <v/>
      </c>
      <c r="H370">
        <f>G370-MIN(F370,G370)</f>
        <v/>
      </c>
      <c r="I370">
        <f>MIN(F370-MIN(F370,G370),D370)</f>
        <v/>
      </c>
      <c r="J370">
        <f>D370-I370</f>
        <v/>
      </c>
      <c r="K370">
        <f>F370-MIN(F370,G370)-I370</f>
        <v/>
      </c>
    </row>
    <row r="371">
      <c r="A371" s="21">
        <f>IF(Rechner!$E$4&lt;&gt;"ok","",IF(Rechner!$E$5+369&lt;=Rechner!$B$6,Rechner!$E$5+369,""))</f>
        <v/>
      </c>
      <c r="B371">
        <f>IF(A371="","",LOOKUP(A371,Basiszins!$A$5:$A$18,Basiszins!$B$5:$B$18))</f>
        <v/>
      </c>
      <c r="C371">
        <f>IF(A371="","",B371+Rechner!$E$7)</f>
        <v/>
      </c>
      <c r="D371">
        <f>J370</f>
        <v/>
      </c>
      <c r="E371">
        <f>IF(A371="",0,D371*C371/100/(DATE(YEAR(A371)+1,1,1)-DATE(YEAR(A371),1,1)))</f>
        <v/>
      </c>
      <c r="F371">
        <f>IF(A371="",0,SUMIF(Rechner!$A$12:$A$21,A371,Rechner!$B$12:$B$21))</f>
        <v/>
      </c>
      <c r="G371">
        <f>H370+E371</f>
        <v/>
      </c>
      <c r="H371">
        <f>G371-MIN(F371,G371)</f>
        <v/>
      </c>
      <c r="I371">
        <f>MIN(F371-MIN(F371,G371),D371)</f>
        <v/>
      </c>
      <c r="J371">
        <f>D371-I371</f>
        <v/>
      </c>
      <c r="K371">
        <f>F371-MIN(F371,G371)-I371</f>
        <v/>
      </c>
    </row>
    <row r="372">
      <c r="A372" s="21">
        <f>IF(Rechner!$E$4&lt;&gt;"ok","",IF(Rechner!$E$5+370&lt;=Rechner!$B$6,Rechner!$E$5+370,""))</f>
        <v/>
      </c>
      <c r="B372">
        <f>IF(A372="","",LOOKUP(A372,Basiszins!$A$5:$A$18,Basiszins!$B$5:$B$18))</f>
        <v/>
      </c>
      <c r="C372">
        <f>IF(A372="","",B372+Rechner!$E$7)</f>
        <v/>
      </c>
      <c r="D372">
        <f>J371</f>
        <v/>
      </c>
      <c r="E372">
        <f>IF(A372="",0,D372*C372/100/(DATE(YEAR(A372)+1,1,1)-DATE(YEAR(A372),1,1)))</f>
        <v/>
      </c>
      <c r="F372">
        <f>IF(A372="",0,SUMIF(Rechner!$A$12:$A$21,A372,Rechner!$B$12:$B$21))</f>
        <v/>
      </c>
      <c r="G372">
        <f>H371+E372</f>
        <v/>
      </c>
      <c r="H372">
        <f>G372-MIN(F372,G372)</f>
        <v/>
      </c>
      <c r="I372">
        <f>MIN(F372-MIN(F372,G372),D372)</f>
        <v/>
      </c>
      <c r="J372">
        <f>D372-I372</f>
        <v/>
      </c>
      <c r="K372">
        <f>F372-MIN(F372,G372)-I372</f>
        <v/>
      </c>
    </row>
    <row r="373">
      <c r="A373" s="21">
        <f>IF(Rechner!$E$4&lt;&gt;"ok","",IF(Rechner!$E$5+371&lt;=Rechner!$B$6,Rechner!$E$5+371,""))</f>
        <v/>
      </c>
      <c r="B373">
        <f>IF(A373="","",LOOKUP(A373,Basiszins!$A$5:$A$18,Basiszins!$B$5:$B$18))</f>
        <v/>
      </c>
      <c r="C373">
        <f>IF(A373="","",B373+Rechner!$E$7)</f>
        <v/>
      </c>
      <c r="D373">
        <f>J372</f>
        <v/>
      </c>
      <c r="E373">
        <f>IF(A373="",0,D373*C373/100/(DATE(YEAR(A373)+1,1,1)-DATE(YEAR(A373),1,1)))</f>
        <v/>
      </c>
      <c r="F373">
        <f>IF(A373="",0,SUMIF(Rechner!$A$12:$A$21,A373,Rechner!$B$12:$B$21))</f>
        <v/>
      </c>
      <c r="G373">
        <f>H372+E373</f>
        <v/>
      </c>
      <c r="H373">
        <f>G373-MIN(F373,G373)</f>
        <v/>
      </c>
      <c r="I373">
        <f>MIN(F373-MIN(F373,G373),D373)</f>
        <v/>
      </c>
      <c r="J373">
        <f>D373-I373</f>
        <v/>
      </c>
      <c r="K373">
        <f>F373-MIN(F373,G373)-I373</f>
        <v/>
      </c>
    </row>
    <row r="374">
      <c r="A374" s="21">
        <f>IF(Rechner!$E$4&lt;&gt;"ok","",IF(Rechner!$E$5+372&lt;=Rechner!$B$6,Rechner!$E$5+372,""))</f>
        <v/>
      </c>
      <c r="B374">
        <f>IF(A374="","",LOOKUP(A374,Basiszins!$A$5:$A$18,Basiszins!$B$5:$B$18))</f>
        <v/>
      </c>
      <c r="C374">
        <f>IF(A374="","",B374+Rechner!$E$7)</f>
        <v/>
      </c>
      <c r="D374">
        <f>J373</f>
        <v/>
      </c>
      <c r="E374">
        <f>IF(A374="",0,D374*C374/100/(DATE(YEAR(A374)+1,1,1)-DATE(YEAR(A374),1,1)))</f>
        <v/>
      </c>
      <c r="F374">
        <f>IF(A374="",0,SUMIF(Rechner!$A$12:$A$21,A374,Rechner!$B$12:$B$21))</f>
        <v/>
      </c>
      <c r="G374">
        <f>H373+E374</f>
        <v/>
      </c>
      <c r="H374">
        <f>G374-MIN(F374,G374)</f>
        <v/>
      </c>
      <c r="I374">
        <f>MIN(F374-MIN(F374,G374),D374)</f>
        <v/>
      </c>
      <c r="J374">
        <f>D374-I374</f>
        <v/>
      </c>
      <c r="K374">
        <f>F374-MIN(F374,G374)-I374</f>
        <v/>
      </c>
    </row>
    <row r="375">
      <c r="A375" s="21">
        <f>IF(Rechner!$E$4&lt;&gt;"ok","",IF(Rechner!$E$5+373&lt;=Rechner!$B$6,Rechner!$E$5+373,""))</f>
        <v/>
      </c>
      <c r="B375">
        <f>IF(A375="","",LOOKUP(A375,Basiszins!$A$5:$A$18,Basiszins!$B$5:$B$18))</f>
        <v/>
      </c>
      <c r="C375">
        <f>IF(A375="","",B375+Rechner!$E$7)</f>
        <v/>
      </c>
      <c r="D375">
        <f>J374</f>
        <v/>
      </c>
      <c r="E375">
        <f>IF(A375="",0,D375*C375/100/(DATE(YEAR(A375)+1,1,1)-DATE(YEAR(A375),1,1)))</f>
        <v/>
      </c>
      <c r="F375">
        <f>IF(A375="",0,SUMIF(Rechner!$A$12:$A$21,A375,Rechner!$B$12:$B$21))</f>
        <v/>
      </c>
      <c r="G375">
        <f>H374+E375</f>
        <v/>
      </c>
      <c r="H375">
        <f>G375-MIN(F375,G375)</f>
        <v/>
      </c>
      <c r="I375">
        <f>MIN(F375-MIN(F375,G375),D375)</f>
        <v/>
      </c>
      <c r="J375">
        <f>D375-I375</f>
        <v/>
      </c>
      <c r="K375">
        <f>F375-MIN(F375,G375)-I375</f>
        <v/>
      </c>
    </row>
    <row r="376">
      <c r="A376" s="21">
        <f>IF(Rechner!$E$4&lt;&gt;"ok","",IF(Rechner!$E$5+374&lt;=Rechner!$B$6,Rechner!$E$5+374,""))</f>
        <v/>
      </c>
      <c r="B376">
        <f>IF(A376="","",LOOKUP(A376,Basiszins!$A$5:$A$18,Basiszins!$B$5:$B$18))</f>
        <v/>
      </c>
      <c r="C376">
        <f>IF(A376="","",B376+Rechner!$E$7)</f>
        <v/>
      </c>
      <c r="D376">
        <f>J375</f>
        <v/>
      </c>
      <c r="E376">
        <f>IF(A376="",0,D376*C376/100/(DATE(YEAR(A376)+1,1,1)-DATE(YEAR(A376),1,1)))</f>
        <v/>
      </c>
      <c r="F376">
        <f>IF(A376="",0,SUMIF(Rechner!$A$12:$A$21,A376,Rechner!$B$12:$B$21))</f>
        <v/>
      </c>
      <c r="G376">
        <f>H375+E376</f>
        <v/>
      </c>
      <c r="H376">
        <f>G376-MIN(F376,G376)</f>
        <v/>
      </c>
      <c r="I376">
        <f>MIN(F376-MIN(F376,G376),D376)</f>
        <v/>
      </c>
      <c r="J376">
        <f>D376-I376</f>
        <v/>
      </c>
      <c r="K376">
        <f>F376-MIN(F376,G376)-I376</f>
        <v/>
      </c>
    </row>
    <row r="377">
      <c r="A377" s="21">
        <f>IF(Rechner!$E$4&lt;&gt;"ok","",IF(Rechner!$E$5+375&lt;=Rechner!$B$6,Rechner!$E$5+375,""))</f>
        <v/>
      </c>
      <c r="B377">
        <f>IF(A377="","",LOOKUP(A377,Basiszins!$A$5:$A$18,Basiszins!$B$5:$B$18))</f>
        <v/>
      </c>
      <c r="C377">
        <f>IF(A377="","",B377+Rechner!$E$7)</f>
        <v/>
      </c>
      <c r="D377">
        <f>J376</f>
        <v/>
      </c>
      <c r="E377">
        <f>IF(A377="",0,D377*C377/100/(DATE(YEAR(A377)+1,1,1)-DATE(YEAR(A377),1,1)))</f>
        <v/>
      </c>
      <c r="F377">
        <f>IF(A377="",0,SUMIF(Rechner!$A$12:$A$21,A377,Rechner!$B$12:$B$21))</f>
        <v/>
      </c>
      <c r="G377">
        <f>H376+E377</f>
        <v/>
      </c>
      <c r="H377">
        <f>G377-MIN(F377,G377)</f>
        <v/>
      </c>
      <c r="I377">
        <f>MIN(F377-MIN(F377,G377),D377)</f>
        <v/>
      </c>
      <c r="J377">
        <f>D377-I377</f>
        <v/>
      </c>
      <c r="K377">
        <f>F377-MIN(F377,G377)-I377</f>
        <v/>
      </c>
    </row>
    <row r="378">
      <c r="A378" s="21">
        <f>IF(Rechner!$E$4&lt;&gt;"ok","",IF(Rechner!$E$5+376&lt;=Rechner!$B$6,Rechner!$E$5+376,""))</f>
        <v/>
      </c>
      <c r="B378">
        <f>IF(A378="","",LOOKUP(A378,Basiszins!$A$5:$A$18,Basiszins!$B$5:$B$18))</f>
        <v/>
      </c>
      <c r="C378">
        <f>IF(A378="","",B378+Rechner!$E$7)</f>
        <v/>
      </c>
      <c r="D378">
        <f>J377</f>
        <v/>
      </c>
      <c r="E378">
        <f>IF(A378="",0,D378*C378/100/(DATE(YEAR(A378)+1,1,1)-DATE(YEAR(A378),1,1)))</f>
        <v/>
      </c>
      <c r="F378">
        <f>IF(A378="",0,SUMIF(Rechner!$A$12:$A$21,A378,Rechner!$B$12:$B$21))</f>
        <v/>
      </c>
      <c r="G378">
        <f>H377+E378</f>
        <v/>
      </c>
      <c r="H378">
        <f>G378-MIN(F378,G378)</f>
        <v/>
      </c>
      <c r="I378">
        <f>MIN(F378-MIN(F378,G378),D378)</f>
        <v/>
      </c>
      <c r="J378">
        <f>D378-I378</f>
        <v/>
      </c>
      <c r="K378">
        <f>F378-MIN(F378,G378)-I378</f>
        <v/>
      </c>
    </row>
    <row r="379">
      <c r="A379" s="21">
        <f>IF(Rechner!$E$4&lt;&gt;"ok","",IF(Rechner!$E$5+377&lt;=Rechner!$B$6,Rechner!$E$5+377,""))</f>
        <v/>
      </c>
      <c r="B379">
        <f>IF(A379="","",LOOKUP(A379,Basiszins!$A$5:$A$18,Basiszins!$B$5:$B$18))</f>
        <v/>
      </c>
      <c r="C379">
        <f>IF(A379="","",B379+Rechner!$E$7)</f>
        <v/>
      </c>
      <c r="D379">
        <f>J378</f>
        <v/>
      </c>
      <c r="E379">
        <f>IF(A379="",0,D379*C379/100/(DATE(YEAR(A379)+1,1,1)-DATE(YEAR(A379),1,1)))</f>
        <v/>
      </c>
      <c r="F379">
        <f>IF(A379="",0,SUMIF(Rechner!$A$12:$A$21,A379,Rechner!$B$12:$B$21))</f>
        <v/>
      </c>
      <c r="G379">
        <f>H378+E379</f>
        <v/>
      </c>
      <c r="H379">
        <f>G379-MIN(F379,G379)</f>
        <v/>
      </c>
      <c r="I379">
        <f>MIN(F379-MIN(F379,G379),D379)</f>
        <v/>
      </c>
      <c r="J379">
        <f>D379-I379</f>
        <v/>
      </c>
      <c r="K379">
        <f>F379-MIN(F379,G379)-I379</f>
        <v/>
      </c>
    </row>
    <row r="380">
      <c r="A380" s="21">
        <f>IF(Rechner!$E$4&lt;&gt;"ok","",IF(Rechner!$E$5+378&lt;=Rechner!$B$6,Rechner!$E$5+378,""))</f>
        <v/>
      </c>
      <c r="B380">
        <f>IF(A380="","",LOOKUP(A380,Basiszins!$A$5:$A$18,Basiszins!$B$5:$B$18))</f>
        <v/>
      </c>
      <c r="C380">
        <f>IF(A380="","",B380+Rechner!$E$7)</f>
        <v/>
      </c>
      <c r="D380">
        <f>J379</f>
        <v/>
      </c>
      <c r="E380">
        <f>IF(A380="",0,D380*C380/100/(DATE(YEAR(A380)+1,1,1)-DATE(YEAR(A380),1,1)))</f>
        <v/>
      </c>
      <c r="F380">
        <f>IF(A380="",0,SUMIF(Rechner!$A$12:$A$21,A380,Rechner!$B$12:$B$21))</f>
        <v/>
      </c>
      <c r="G380">
        <f>H379+E380</f>
        <v/>
      </c>
      <c r="H380">
        <f>G380-MIN(F380,G380)</f>
        <v/>
      </c>
      <c r="I380">
        <f>MIN(F380-MIN(F380,G380),D380)</f>
        <v/>
      </c>
      <c r="J380">
        <f>D380-I380</f>
        <v/>
      </c>
      <c r="K380">
        <f>F380-MIN(F380,G380)-I380</f>
        <v/>
      </c>
    </row>
    <row r="381">
      <c r="A381" s="21">
        <f>IF(Rechner!$E$4&lt;&gt;"ok","",IF(Rechner!$E$5+379&lt;=Rechner!$B$6,Rechner!$E$5+379,""))</f>
        <v/>
      </c>
      <c r="B381">
        <f>IF(A381="","",LOOKUP(A381,Basiszins!$A$5:$A$18,Basiszins!$B$5:$B$18))</f>
        <v/>
      </c>
      <c r="C381">
        <f>IF(A381="","",B381+Rechner!$E$7)</f>
        <v/>
      </c>
      <c r="D381">
        <f>J380</f>
        <v/>
      </c>
      <c r="E381">
        <f>IF(A381="",0,D381*C381/100/(DATE(YEAR(A381)+1,1,1)-DATE(YEAR(A381),1,1)))</f>
        <v/>
      </c>
      <c r="F381">
        <f>IF(A381="",0,SUMIF(Rechner!$A$12:$A$21,A381,Rechner!$B$12:$B$21))</f>
        <v/>
      </c>
      <c r="G381">
        <f>H380+E381</f>
        <v/>
      </c>
      <c r="H381">
        <f>G381-MIN(F381,G381)</f>
        <v/>
      </c>
      <c r="I381">
        <f>MIN(F381-MIN(F381,G381),D381)</f>
        <v/>
      </c>
      <c r="J381">
        <f>D381-I381</f>
        <v/>
      </c>
      <c r="K381">
        <f>F381-MIN(F381,G381)-I381</f>
        <v/>
      </c>
    </row>
    <row r="382">
      <c r="A382" s="21">
        <f>IF(Rechner!$E$4&lt;&gt;"ok","",IF(Rechner!$E$5+380&lt;=Rechner!$B$6,Rechner!$E$5+380,""))</f>
        <v/>
      </c>
      <c r="B382">
        <f>IF(A382="","",LOOKUP(A382,Basiszins!$A$5:$A$18,Basiszins!$B$5:$B$18))</f>
        <v/>
      </c>
      <c r="C382">
        <f>IF(A382="","",B382+Rechner!$E$7)</f>
        <v/>
      </c>
      <c r="D382">
        <f>J381</f>
        <v/>
      </c>
      <c r="E382">
        <f>IF(A382="",0,D382*C382/100/(DATE(YEAR(A382)+1,1,1)-DATE(YEAR(A382),1,1)))</f>
        <v/>
      </c>
      <c r="F382">
        <f>IF(A382="",0,SUMIF(Rechner!$A$12:$A$21,A382,Rechner!$B$12:$B$21))</f>
        <v/>
      </c>
      <c r="G382">
        <f>H381+E382</f>
        <v/>
      </c>
      <c r="H382">
        <f>G382-MIN(F382,G382)</f>
        <v/>
      </c>
      <c r="I382">
        <f>MIN(F382-MIN(F382,G382),D382)</f>
        <v/>
      </c>
      <c r="J382">
        <f>D382-I382</f>
        <v/>
      </c>
      <c r="K382">
        <f>F382-MIN(F382,G382)-I382</f>
        <v/>
      </c>
    </row>
    <row r="383">
      <c r="A383" s="21">
        <f>IF(Rechner!$E$4&lt;&gt;"ok","",IF(Rechner!$E$5+381&lt;=Rechner!$B$6,Rechner!$E$5+381,""))</f>
        <v/>
      </c>
      <c r="B383">
        <f>IF(A383="","",LOOKUP(A383,Basiszins!$A$5:$A$18,Basiszins!$B$5:$B$18))</f>
        <v/>
      </c>
      <c r="C383">
        <f>IF(A383="","",B383+Rechner!$E$7)</f>
        <v/>
      </c>
      <c r="D383">
        <f>J382</f>
        <v/>
      </c>
      <c r="E383">
        <f>IF(A383="",0,D383*C383/100/(DATE(YEAR(A383)+1,1,1)-DATE(YEAR(A383),1,1)))</f>
        <v/>
      </c>
      <c r="F383">
        <f>IF(A383="",0,SUMIF(Rechner!$A$12:$A$21,A383,Rechner!$B$12:$B$21))</f>
        <v/>
      </c>
      <c r="G383">
        <f>H382+E383</f>
        <v/>
      </c>
      <c r="H383">
        <f>G383-MIN(F383,G383)</f>
        <v/>
      </c>
      <c r="I383">
        <f>MIN(F383-MIN(F383,G383),D383)</f>
        <v/>
      </c>
      <c r="J383">
        <f>D383-I383</f>
        <v/>
      </c>
      <c r="K383">
        <f>F383-MIN(F383,G383)-I383</f>
        <v/>
      </c>
    </row>
    <row r="384">
      <c r="A384" s="21">
        <f>IF(Rechner!$E$4&lt;&gt;"ok","",IF(Rechner!$E$5+382&lt;=Rechner!$B$6,Rechner!$E$5+382,""))</f>
        <v/>
      </c>
      <c r="B384">
        <f>IF(A384="","",LOOKUP(A384,Basiszins!$A$5:$A$18,Basiszins!$B$5:$B$18))</f>
        <v/>
      </c>
      <c r="C384">
        <f>IF(A384="","",B384+Rechner!$E$7)</f>
        <v/>
      </c>
      <c r="D384">
        <f>J383</f>
        <v/>
      </c>
      <c r="E384">
        <f>IF(A384="",0,D384*C384/100/(DATE(YEAR(A384)+1,1,1)-DATE(YEAR(A384),1,1)))</f>
        <v/>
      </c>
      <c r="F384">
        <f>IF(A384="",0,SUMIF(Rechner!$A$12:$A$21,A384,Rechner!$B$12:$B$21))</f>
        <v/>
      </c>
      <c r="G384">
        <f>H383+E384</f>
        <v/>
      </c>
      <c r="H384">
        <f>G384-MIN(F384,G384)</f>
        <v/>
      </c>
      <c r="I384">
        <f>MIN(F384-MIN(F384,G384),D384)</f>
        <v/>
      </c>
      <c r="J384">
        <f>D384-I384</f>
        <v/>
      </c>
      <c r="K384">
        <f>F384-MIN(F384,G384)-I384</f>
        <v/>
      </c>
    </row>
    <row r="385">
      <c r="A385" s="21">
        <f>IF(Rechner!$E$4&lt;&gt;"ok","",IF(Rechner!$E$5+383&lt;=Rechner!$B$6,Rechner!$E$5+383,""))</f>
        <v/>
      </c>
      <c r="B385">
        <f>IF(A385="","",LOOKUP(A385,Basiszins!$A$5:$A$18,Basiszins!$B$5:$B$18))</f>
        <v/>
      </c>
      <c r="C385">
        <f>IF(A385="","",B385+Rechner!$E$7)</f>
        <v/>
      </c>
      <c r="D385">
        <f>J384</f>
        <v/>
      </c>
      <c r="E385">
        <f>IF(A385="",0,D385*C385/100/(DATE(YEAR(A385)+1,1,1)-DATE(YEAR(A385),1,1)))</f>
        <v/>
      </c>
      <c r="F385">
        <f>IF(A385="",0,SUMIF(Rechner!$A$12:$A$21,A385,Rechner!$B$12:$B$21))</f>
        <v/>
      </c>
      <c r="G385">
        <f>H384+E385</f>
        <v/>
      </c>
      <c r="H385">
        <f>G385-MIN(F385,G385)</f>
        <v/>
      </c>
      <c r="I385">
        <f>MIN(F385-MIN(F385,G385),D385)</f>
        <v/>
      </c>
      <c r="J385">
        <f>D385-I385</f>
        <v/>
      </c>
      <c r="K385">
        <f>F385-MIN(F385,G385)-I385</f>
        <v/>
      </c>
    </row>
    <row r="386">
      <c r="A386" s="21">
        <f>IF(Rechner!$E$4&lt;&gt;"ok","",IF(Rechner!$E$5+384&lt;=Rechner!$B$6,Rechner!$E$5+384,""))</f>
        <v/>
      </c>
      <c r="B386">
        <f>IF(A386="","",LOOKUP(A386,Basiszins!$A$5:$A$18,Basiszins!$B$5:$B$18))</f>
        <v/>
      </c>
      <c r="C386">
        <f>IF(A386="","",B386+Rechner!$E$7)</f>
        <v/>
      </c>
      <c r="D386">
        <f>J385</f>
        <v/>
      </c>
      <c r="E386">
        <f>IF(A386="",0,D386*C386/100/(DATE(YEAR(A386)+1,1,1)-DATE(YEAR(A386),1,1)))</f>
        <v/>
      </c>
      <c r="F386">
        <f>IF(A386="",0,SUMIF(Rechner!$A$12:$A$21,A386,Rechner!$B$12:$B$21))</f>
        <v/>
      </c>
      <c r="G386">
        <f>H385+E386</f>
        <v/>
      </c>
      <c r="H386">
        <f>G386-MIN(F386,G386)</f>
        <v/>
      </c>
      <c r="I386">
        <f>MIN(F386-MIN(F386,G386),D386)</f>
        <v/>
      </c>
      <c r="J386">
        <f>D386-I386</f>
        <v/>
      </c>
      <c r="K386">
        <f>F386-MIN(F386,G386)-I386</f>
        <v/>
      </c>
    </row>
    <row r="387">
      <c r="A387" s="21">
        <f>IF(Rechner!$E$4&lt;&gt;"ok","",IF(Rechner!$E$5+385&lt;=Rechner!$B$6,Rechner!$E$5+385,""))</f>
        <v/>
      </c>
      <c r="B387">
        <f>IF(A387="","",LOOKUP(A387,Basiszins!$A$5:$A$18,Basiszins!$B$5:$B$18))</f>
        <v/>
      </c>
      <c r="C387">
        <f>IF(A387="","",B387+Rechner!$E$7)</f>
        <v/>
      </c>
      <c r="D387">
        <f>J386</f>
        <v/>
      </c>
      <c r="E387">
        <f>IF(A387="",0,D387*C387/100/(DATE(YEAR(A387)+1,1,1)-DATE(YEAR(A387),1,1)))</f>
        <v/>
      </c>
      <c r="F387">
        <f>IF(A387="",0,SUMIF(Rechner!$A$12:$A$21,A387,Rechner!$B$12:$B$21))</f>
        <v/>
      </c>
      <c r="G387">
        <f>H386+E387</f>
        <v/>
      </c>
      <c r="H387">
        <f>G387-MIN(F387,G387)</f>
        <v/>
      </c>
      <c r="I387">
        <f>MIN(F387-MIN(F387,G387),D387)</f>
        <v/>
      </c>
      <c r="J387">
        <f>D387-I387</f>
        <v/>
      </c>
      <c r="K387">
        <f>F387-MIN(F387,G387)-I387</f>
        <v/>
      </c>
    </row>
    <row r="388">
      <c r="A388" s="21">
        <f>IF(Rechner!$E$4&lt;&gt;"ok","",IF(Rechner!$E$5+386&lt;=Rechner!$B$6,Rechner!$E$5+386,""))</f>
        <v/>
      </c>
      <c r="B388">
        <f>IF(A388="","",LOOKUP(A388,Basiszins!$A$5:$A$18,Basiszins!$B$5:$B$18))</f>
        <v/>
      </c>
      <c r="C388">
        <f>IF(A388="","",B388+Rechner!$E$7)</f>
        <v/>
      </c>
      <c r="D388">
        <f>J387</f>
        <v/>
      </c>
      <c r="E388">
        <f>IF(A388="",0,D388*C388/100/(DATE(YEAR(A388)+1,1,1)-DATE(YEAR(A388),1,1)))</f>
        <v/>
      </c>
      <c r="F388">
        <f>IF(A388="",0,SUMIF(Rechner!$A$12:$A$21,A388,Rechner!$B$12:$B$21))</f>
        <v/>
      </c>
      <c r="G388">
        <f>H387+E388</f>
        <v/>
      </c>
      <c r="H388">
        <f>G388-MIN(F388,G388)</f>
        <v/>
      </c>
      <c r="I388">
        <f>MIN(F388-MIN(F388,G388),D388)</f>
        <v/>
      </c>
      <c r="J388">
        <f>D388-I388</f>
        <v/>
      </c>
      <c r="K388">
        <f>F388-MIN(F388,G388)-I388</f>
        <v/>
      </c>
    </row>
    <row r="389">
      <c r="A389" s="21">
        <f>IF(Rechner!$E$4&lt;&gt;"ok","",IF(Rechner!$E$5+387&lt;=Rechner!$B$6,Rechner!$E$5+387,""))</f>
        <v/>
      </c>
      <c r="B389">
        <f>IF(A389="","",LOOKUP(A389,Basiszins!$A$5:$A$18,Basiszins!$B$5:$B$18))</f>
        <v/>
      </c>
      <c r="C389">
        <f>IF(A389="","",B389+Rechner!$E$7)</f>
        <v/>
      </c>
      <c r="D389">
        <f>J388</f>
        <v/>
      </c>
      <c r="E389">
        <f>IF(A389="",0,D389*C389/100/(DATE(YEAR(A389)+1,1,1)-DATE(YEAR(A389),1,1)))</f>
        <v/>
      </c>
      <c r="F389">
        <f>IF(A389="",0,SUMIF(Rechner!$A$12:$A$21,A389,Rechner!$B$12:$B$21))</f>
        <v/>
      </c>
      <c r="G389">
        <f>H388+E389</f>
        <v/>
      </c>
      <c r="H389">
        <f>G389-MIN(F389,G389)</f>
        <v/>
      </c>
      <c r="I389">
        <f>MIN(F389-MIN(F389,G389),D389)</f>
        <v/>
      </c>
      <c r="J389">
        <f>D389-I389</f>
        <v/>
      </c>
      <c r="K389">
        <f>F389-MIN(F389,G389)-I389</f>
        <v/>
      </c>
    </row>
    <row r="390">
      <c r="A390" s="21">
        <f>IF(Rechner!$E$4&lt;&gt;"ok","",IF(Rechner!$E$5+388&lt;=Rechner!$B$6,Rechner!$E$5+388,""))</f>
        <v/>
      </c>
      <c r="B390">
        <f>IF(A390="","",LOOKUP(A390,Basiszins!$A$5:$A$18,Basiszins!$B$5:$B$18))</f>
        <v/>
      </c>
      <c r="C390">
        <f>IF(A390="","",B390+Rechner!$E$7)</f>
        <v/>
      </c>
      <c r="D390">
        <f>J389</f>
        <v/>
      </c>
      <c r="E390">
        <f>IF(A390="",0,D390*C390/100/(DATE(YEAR(A390)+1,1,1)-DATE(YEAR(A390),1,1)))</f>
        <v/>
      </c>
      <c r="F390">
        <f>IF(A390="",0,SUMIF(Rechner!$A$12:$A$21,A390,Rechner!$B$12:$B$21))</f>
        <v/>
      </c>
      <c r="G390">
        <f>H389+E390</f>
        <v/>
      </c>
      <c r="H390">
        <f>G390-MIN(F390,G390)</f>
        <v/>
      </c>
      <c r="I390">
        <f>MIN(F390-MIN(F390,G390),D390)</f>
        <v/>
      </c>
      <c r="J390">
        <f>D390-I390</f>
        <v/>
      </c>
      <c r="K390">
        <f>F390-MIN(F390,G390)-I390</f>
        <v/>
      </c>
    </row>
    <row r="391">
      <c r="A391" s="21">
        <f>IF(Rechner!$E$4&lt;&gt;"ok","",IF(Rechner!$E$5+389&lt;=Rechner!$B$6,Rechner!$E$5+389,""))</f>
        <v/>
      </c>
      <c r="B391">
        <f>IF(A391="","",LOOKUP(A391,Basiszins!$A$5:$A$18,Basiszins!$B$5:$B$18))</f>
        <v/>
      </c>
      <c r="C391">
        <f>IF(A391="","",B391+Rechner!$E$7)</f>
        <v/>
      </c>
      <c r="D391">
        <f>J390</f>
        <v/>
      </c>
      <c r="E391">
        <f>IF(A391="",0,D391*C391/100/(DATE(YEAR(A391)+1,1,1)-DATE(YEAR(A391),1,1)))</f>
        <v/>
      </c>
      <c r="F391">
        <f>IF(A391="",0,SUMIF(Rechner!$A$12:$A$21,A391,Rechner!$B$12:$B$21))</f>
        <v/>
      </c>
      <c r="G391">
        <f>H390+E391</f>
        <v/>
      </c>
      <c r="H391">
        <f>G391-MIN(F391,G391)</f>
        <v/>
      </c>
      <c r="I391">
        <f>MIN(F391-MIN(F391,G391),D391)</f>
        <v/>
      </c>
      <c r="J391">
        <f>D391-I391</f>
        <v/>
      </c>
      <c r="K391">
        <f>F391-MIN(F391,G391)-I391</f>
        <v/>
      </c>
    </row>
    <row r="392">
      <c r="A392" s="21">
        <f>IF(Rechner!$E$4&lt;&gt;"ok","",IF(Rechner!$E$5+390&lt;=Rechner!$B$6,Rechner!$E$5+390,""))</f>
        <v/>
      </c>
      <c r="B392">
        <f>IF(A392="","",LOOKUP(A392,Basiszins!$A$5:$A$18,Basiszins!$B$5:$B$18))</f>
        <v/>
      </c>
      <c r="C392">
        <f>IF(A392="","",B392+Rechner!$E$7)</f>
        <v/>
      </c>
      <c r="D392">
        <f>J391</f>
        <v/>
      </c>
      <c r="E392">
        <f>IF(A392="",0,D392*C392/100/(DATE(YEAR(A392)+1,1,1)-DATE(YEAR(A392),1,1)))</f>
        <v/>
      </c>
      <c r="F392">
        <f>IF(A392="",0,SUMIF(Rechner!$A$12:$A$21,A392,Rechner!$B$12:$B$21))</f>
        <v/>
      </c>
      <c r="G392">
        <f>H391+E392</f>
        <v/>
      </c>
      <c r="H392">
        <f>G392-MIN(F392,G392)</f>
        <v/>
      </c>
      <c r="I392">
        <f>MIN(F392-MIN(F392,G392),D392)</f>
        <v/>
      </c>
      <c r="J392">
        <f>D392-I392</f>
        <v/>
      </c>
      <c r="K392">
        <f>F392-MIN(F392,G392)-I392</f>
        <v/>
      </c>
    </row>
    <row r="393">
      <c r="A393" s="21">
        <f>IF(Rechner!$E$4&lt;&gt;"ok","",IF(Rechner!$E$5+391&lt;=Rechner!$B$6,Rechner!$E$5+391,""))</f>
        <v/>
      </c>
      <c r="B393">
        <f>IF(A393="","",LOOKUP(A393,Basiszins!$A$5:$A$18,Basiszins!$B$5:$B$18))</f>
        <v/>
      </c>
      <c r="C393">
        <f>IF(A393="","",B393+Rechner!$E$7)</f>
        <v/>
      </c>
      <c r="D393">
        <f>J392</f>
        <v/>
      </c>
      <c r="E393">
        <f>IF(A393="",0,D393*C393/100/(DATE(YEAR(A393)+1,1,1)-DATE(YEAR(A393),1,1)))</f>
        <v/>
      </c>
      <c r="F393">
        <f>IF(A393="",0,SUMIF(Rechner!$A$12:$A$21,A393,Rechner!$B$12:$B$21))</f>
        <v/>
      </c>
      <c r="G393">
        <f>H392+E393</f>
        <v/>
      </c>
      <c r="H393">
        <f>G393-MIN(F393,G393)</f>
        <v/>
      </c>
      <c r="I393">
        <f>MIN(F393-MIN(F393,G393),D393)</f>
        <v/>
      </c>
      <c r="J393">
        <f>D393-I393</f>
        <v/>
      </c>
      <c r="K393">
        <f>F393-MIN(F393,G393)-I393</f>
        <v/>
      </c>
    </row>
    <row r="394">
      <c r="A394" s="21">
        <f>IF(Rechner!$E$4&lt;&gt;"ok","",IF(Rechner!$E$5+392&lt;=Rechner!$B$6,Rechner!$E$5+392,""))</f>
        <v/>
      </c>
      <c r="B394">
        <f>IF(A394="","",LOOKUP(A394,Basiszins!$A$5:$A$18,Basiszins!$B$5:$B$18))</f>
        <v/>
      </c>
      <c r="C394">
        <f>IF(A394="","",B394+Rechner!$E$7)</f>
        <v/>
      </c>
      <c r="D394">
        <f>J393</f>
        <v/>
      </c>
      <c r="E394">
        <f>IF(A394="",0,D394*C394/100/(DATE(YEAR(A394)+1,1,1)-DATE(YEAR(A394),1,1)))</f>
        <v/>
      </c>
      <c r="F394">
        <f>IF(A394="",0,SUMIF(Rechner!$A$12:$A$21,A394,Rechner!$B$12:$B$21))</f>
        <v/>
      </c>
      <c r="G394">
        <f>H393+E394</f>
        <v/>
      </c>
      <c r="H394">
        <f>G394-MIN(F394,G394)</f>
        <v/>
      </c>
      <c r="I394">
        <f>MIN(F394-MIN(F394,G394),D394)</f>
        <v/>
      </c>
      <c r="J394">
        <f>D394-I394</f>
        <v/>
      </c>
      <c r="K394">
        <f>F394-MIN(F394,G394)-I394</f>
        <v/>
      </c>
    </row>
    <row r="395">
      <c r="A395" s="21">
        <f>IF(Rechner!$E$4&lt;&gt;"ok","",IF(Rechner!$E$5+393&lt;=Rechner!$B$6,Rechner!$E$5+393,""))</f>
        <v/>
      </c>
      <c r="B395">
        <f>IF(A395="","",LOOKUP(A395,Basiszins!$A$5:$A$18,Basiszins!$B$5:$B$18))</f>
        <v/>
      </c>
      <c r="C395">
        <f>IF(A395="","",B395+Rechner!$E$7)</f>
        <v/>
      </c>
      <c r="D395">
        <f>J394</f>
        <v/>
      </c>
      <c r="E395">
        <f>IF(A395="",0,D395*C395/100/(DATE(YEAR(A395)+1,1,1)-DATE(YEAR(A395),1,1)))</f>
        <v/>
      </c>
      <c r="F395">
        <f>IF(A395="",0,SUMIF(Rechner!$A$12:$A$21,A395,Rechner!$B$12:$B$21))</f>
        <v/>
      </c>
      <c r="G395">
        <f>H394+E395</f>
        <v/>
      </c>
      <c r="H395">
        <f>G395-MIN(F395,G395)</f>
        <v/>
      </c>
      <c r="I395">
        <f>MIN(F395-MIN(F395,G395),D395)</f>
        <v/>
      </c>
      <c r="J395">
        <f>D395-I395</f>
        <v/>
      </c>
      <c r="K395">
        <f>F395-MIN(F395,G395)-I395</f>
        <v/>
      </c>
    </row>
    <row r="396">
      <c r="A396" s="21">
        <f>IF(Rechner!$E$4&lt;&gt;"ok","",IF(Rechner!$E$5+394&lt;=Rechner!$B$6,Rechner!$E$5+394,""))</f>
        <v/>
      </c>
      <c r="B396">
        <f>IF(A396="","",LOOKUP(A396,Basiszins!$A$5:$A$18,Basiszins!$B$5:$B$18))</f>
        <v/>
      </c>
      <c r="C396">
        <f>IF(A396="","",B396+Rechner!$E$7)</f>
        <v/>
      </c>
      <c r="D396">
        <f>J395</f>
        <v/>
      </c>
      <c r="E396">
        <f>IF(A396="",0,D396*C396/100/(DATE(YEAR(A396)+1,1,1)-DATE(YEAR(A396),1,1)))</f>
        <v/>
      </c>
      <c r="F396">
        <f>IF(A396="",0,SUMIF(Rechner!$A$12:$A$21,A396,Rechner!$B$12:$B$21))</f>
        <v/>
      </c>
      <c r="G396">
        <f>H395+E396</f>
        <v/>
      </c>
      <c r="H396">
        <f>G396-MIN(F396,G396)</f>
        <v/>
      </c>
      <c r="I396">
        <f>MIN(F396-MIN(F396,G396),D396)</f>
        <v/>
      </c>
      <c r="J396">
        <f>D396-I396</f>
        <v/>
      </c>
      <c r="K396">
        <f>F396-MIN(F396,G396)-I396</f>
        <v/>
      </c>
    </row>
    <row r="397">
      <c r="A397" s="21">
        <f>IF(Rechner!$E$4&lt;&gt;"ok","",IF(Rechner!$E$5+395&lt;=Rechner!$B$6,Rechner!$E$5+395,""))</f>
        <v/>
      </c>
      <c r="B397">
        <f>IF(A397="","",LOOKUP(A397,Basiszins!$A$5:$A$18,Basiszins!$B$5:$B$18))</f>
        <v/>
      </c>
      <c r="C397">
        <f>IF(A397="","",B397+Rechner!$E$7)</f>
        <v/>
      </c>
      <c r="D397">
        <f>J396</f>
        <v/>
      </c>
      <c r="E397">
        <f>IF(A397="",0,D397*C397/100/(DATE(YEAR(A397)+1,1,1)-DATE(YEAR(A397),1,1)))</f>
        <v/>
      </c>
      <c r="F397">
        <f>IF(A397="",0,SUMIF(Rechner!$A$12:$A$21,A397,Rechner!$B$12:$B$21))</f>
        <v/>
      </c>
      <c r="G397">
        <f>H396+E397</f>
        <v/>
      </c>
      <c r="H397">
        <f>G397-MIN(F397,G397)</f>
        <v/>
      </c>
      <c r="I397">
        <f>MIN(F397-MIN(F397,G397),D397)</f>
        <v/>
      </c>
      <c r="J397">
        <f>D397-I397</f>
        <v/>
      </c>
      <c r="K397">
        <f>F397-MIN(F397,G397)-I397</f>
        <v/>
      </c>
    </row>
    <row r="398">
      <c r="A398" s="21">
        <f>IF(Rechner!$E$4&lt;&gt;"ok","",IF(Rechner!$E$5+396&lt;=Rechner!$B$6,Rechner!$E$5+396,""))</f>
        <v/>
      </c>
      <c r="B398">
        <f>IF(A398="","",LOOKUP(A398,Basiszins!$A$5:$A$18,Basiszins!$B$5:$B$18))</f>
        <v/>
      </c>
      <c r="C398">
        <f>IF(A398="","",B398+Rechner!$E$7)</f>
        <v/>
      </c>
      <c r="D398">
        <f>J397</f>
        <v/>
      </c>
      <c r="E398">
        <f>IF(A398="",0,D398*C398/100/(DATE(YEAR(A398)+1,1,1)-DATE(YEAR(A398),1,1)))</f>
        <v/>
      </c>
      <c r="F398">
        <f>IF(A398="",0,SUMIF(Rechner!$A$12:$A$21,A398,Rechner!$B$12:$B$21))</f>
        <v/>
      </c>
      <c r="G398">
        <f>H397+E398</f>
        <v/>
      </c>
      <c r="H398">
        <f>G398-MIN(F398,G398)</f>
        <v/>
      </c>
      <c r="I398">
        <f>MIN(F398-MIN(F398,G398),D398)</f>
        <v/>
      </c>
      <c r="J398">
        <f>D398-I398</f>
        <v/>
      </c>
      <c r="K398">
        <f>F398-MIN(F398,G398)-I398</f>
        <v/>
      </c>
    </row>
    <row r="399">
      <c r="A399" s="21">
        <f>IF(Rechner!$E$4&lt;&gt;"ok","",IF(Rechner!$E$5+397&lt;=Rechner!$B$6,Rechner!$E$5+397,""))</f>
        <v/>
      </c>
      <c r="B399">
        <f>IF(A399="","",LOOKUP(A399,Basiszins!$A$5:$A$18,Basiszins!$B$5:$B$18))</f>
        <v/>
      </c>
      <c r="C399">
        <f>IF(A399="","",B399+Rechner!$E$7)</f>
        <v/>
      </c>
      <c r="D399">
        <f>J398</f>
        <v/>
      </c>
      <c r="E399">
        <f>IF(A399="",0,D399*C399/100/(DATE(YEAR(A399)+1,1,1)-DATE(YEAR(A399),1,1)))</f>
        <v/>
      </c>
      <c r="F399">
        <f>IF(A399="",0,SUMIF(Rechner!$A$12:$A$21,A399,Rechner!$B$12:$B$21))</f>
        <v/>
      </c>
      <c r="G399">
        <f>H398+E399</f>
        <v/>
      </c>
      <c r="H399">
        <f>G399-MIN(F399,G399)</f>
        <v/>
      </c>
      <c r="I399">
        <f>MIN(F399-MIN(F399,G399),D399)</f>
        <v/>
      </c>
      <c r="J399">
        <f>D399-I399</f>
        <v/>
      </c>
      <c r="K399">
        <f>F399-MIN(F399,G399)-I399</f>
        <v/>
      </c>
    </row>
    <row r="400">
      <c r="A400" s="21">
        <f>IF(Rechner!$E$4&lt;&gt;"ok","",IF(Rechner!$E$5+398&lt;=Rechner!$B$6,Rechner!$E$5+398,""))</f>
        <v/>
      </c>
      <c r="B400">
        <f>IF(A400="","",LOOKUP(A400,Basiszins!$A$5:$A$18,Basiszins!$B$5:$B$18))</f>
        <v/>
      </c>
      <c r="C400">
        <f>IF(A400="","",B400+Rechner!$E$7)</f>
        <v/>
      </c>
      <c r="D400">
        <f>J399</f>
        <v/>
      </c>
      <c r="E400">
        <f>IF(A400="",0,D400*C400/100/(DATE(YEAR(A400)+1,1,1)-DATE(YEAR(A400),1,1)))</f>
        <v/>
      </c>
      <c r="F400">
        <f>IF(A400="",0,SUMIF(Rechner!$A$12:$A$21,A400,Rechner!$B$12:$B$21))</f>
        <v/>
      </c>
      <c r="G400">
        <f>H399+E400</f>
        <v/>
      </c>
      <c r="H400">
        <f>G400-MIN(F400,G400)</f>
        <v/>
      </c>
      <c r="I400">
        <f>MIN(F400-MIN(F400,G400),D400)</f>
        <v/>
      </c>
      <c r="J400">
        <f>D400-I400</f>
        <v/>
      </c>
      <c r="K400">
        <f>F400-MIN(F400,G400)-I400</f>
        <v/>
      </c>
    </row>
    <row r="401">
      <c r="A401" s="21">
        <f>IF(Rechner!$E$4&lt;&gt;"ok","",IF(Rechner!$E$5+399&lt;=Rechner!$B$6,Rechner!$E$5+399,""))</f>
        <v/>
      </c>
      <c r="B401">
        <f>IF(A401="","",LOOKUP(A401,Basiszins!$A$5:$A$18,Basiszins!$B$5:$B$18))</f>
        <v/>
      </c>
      <c r="C401">
        <f>IF(A401="","",B401+Rechner!$E$7)</f>
        <v/>
      </c>
      <c r="D401">
        <f>J400</f>
        <v/>
      </c>
      <c r="E401">
        <f>IF(A401="",0,D401*C401/100/(DATE(YEAR(A401)+1,1,1)-DATE(YEAR(A401),1,1)))</f>
        <v/>
      </c>
      <c r="F401">
        <f>IF(A401="",0,SUMIF(Rechner!$A$12:$A$21,A401,Rechner!$B$12:$B$21))</f>
        <v/>
      </c>
      <c r="G401">
        <f>H400+E401</f>
        <v/>
      </c>
      <c r="H401">
        <f>G401-MIN(F401,G401)</f>
        <v/>
      </c>
      <c r="I401">
        <f>MIN(F401-MIN(F401,G401),D401)</f>
        <v/>
      </c>
      <c r="J401">
        <f>D401-I401</f>
        <v/>
      </c>
      <c r="K401">
        <f>F401-MIN(F401,G401)-I401</f>
        <v/>
      </c>
    </row>
    <row r="402">
      <c r="A402" s="21">
        <f>IF(Rechner!$E$4&lt;&gt;"ok","",IF(Rechner!$E$5+400&lt;=Rechner!$B$6,Rechner!$E$5+400,""))</f>
        <v/>
      </c>
      <c r="B402">
        <f>IF(A402="","",LOOKUP(A402,Basiszins!$A$5:$A$18,Basiszins!$B$5:$B$18))</f>
        <v/>
      </c>
      <c r="C402">
        <f>IF(A402="","",B402+Rechner!$E$7)</f>
        <v/>
      </c>
      <c r="D402">
        <f>J401</f>
        <v/>
      </c>
      <c r="E402">
        <f>IF(A402="",0,D402*C402/100/(DATE(YEAR(A402)+1,1,1)-DATE(YEAR(A402),1,1)))</f>
        <v/>
      </c>
      <c r="F402">
        <f>IF(A402="",0,SUMIF(Rechner!$A$12:$A$21,A402,Rechner!$B$12:$B$21))</f>
        <v/>
      </c>
      <c r="G402">
        <f>H401+E402</f>
        <v/>
      </c>
      <c r="H402">
        <f>G402-MIN(F402,G402)</f>
        <v/>
      </c>
      <c r="I402">
        <f>MIN(F402-MIN(F402,G402),D402)</f>
        <v/>
      </c>
      <c r="J402">
        <f>D402-I402</f>
        <v/>
      </c>
      <c r="K402">
        <f>F402-MIN(F402,G402)-I402</f>
        <v/>
      </c>
    </row>
    <row r="403">
      <c r="A403" s="21">
        <f>IF(Rechner!$E$4&lt;&gt;"ok","",IF(Rechner!$E$5+401&lt;=Rechner!$B$6,Rechner!$E$5+401,""))</f>
        <v/>
      </c>
      <c r="B403">
        <f>IF(A403="","",LOOKUP(A403,Basiszins!$A$5:$A$18,Basiszins!$B$5:$B$18))</f>
        <v/>
      </c>
      <c r="C403">
        <f>IF(A403="","",B403+Rechner!$E$7)</f>
        <v/>
      </c>
      <c r="D403">
        <f>J402</f>
        <v/>
      </c>
      <c r="E403">
        <f>IF(A403="",0,D403*C403/100/(DATE(YEAR(A403)+1,1,1)-DATE(YEAR(A403),1,1)))</f>
        <v/>
      </c>
      <c r="F403">
        <f>IF(A403="",0,SUMIF(Rechner!$A$12:$A$21,A403,Rechner!$B$12:$B$21))</f>
        <v/>
      </c>
      <c r="G403">
        <f>H402+E403</f>
        <v/>
      </c>
      <c r="H403">
        <f>G403-MIN(F403,G403)</f>
        <v/>
      </c>
      <c r="I403">
        <f>MIN(F403-MIN(F403,G403),D403)</f>
        <v/>
      </c>
      <c r="J403">
        <f>D403-I403</f>
        <v/>
      </c>
      <c r="K403">
        <f>F403-MIN(F403,G403)-I403</f>
        <v/>
      </c>
    </row>
    <row r="404">
      <c r="A404" s="21">
        <f>IF(Rechner!$E$4&lt;&gt;"ok","",IF(Rechner!$E$5+402&lt;=Rechner!$B$6,Rechner!$E$5+402,""))</f>
        <v/>
      </c>
      <c r="B404">
        <f>IF(A404="","",LOOKUP(A404,Basiszins!$A$5:$A$18,Basiszins!$B$5:$B$18))</f>
        <v/>
      </c>
      <c r="C404">
        <f>IF(A404="","",B404+Rechner!$E$7)</f>
        <v/>
      </c>
      <c r="D404">
        <f>J403</f>
        <v/>
      </c>
      <c r="E404">
        <f>IF(A404="",0,D404*C404/100/(DATE(YEAR(A404)+1,1,1)-DATE(YEAR(A404),1,1)))</f>
        <v/>
      </c>
      <c r="F404">
        <f>IF(A404="",0,SUMIF(Rechner!$A$12:$A$21,A404,Rechner!$B$12:$B$21))</f>
        <v/>
      </c>
      <c r="G404">
        <f>H403+E404</f>
        <v/>
      </c>
      <c r="H404">
        <f>G404-MIN(F404,G404)</f>
        <v/>
      </c>
      <c r="I404">
        <f>MIN(F404-MIN(F404,G404),D404)</f>
        <v/>
      </c>
      <c r="J404">
        <f>D404-I404</f>
        <v/>
      </c>
      <c r="K404">
        <f>F404-MIN(F404,G404)-I404</f>
        <v/>
      </c>
    </row>
    <row r="405">
      <c r="A405" s="21">
        <f>IF(Rechner!$E$4&lt;&gt;"ok","",IF(Rechner!$E$5+403&lt;=Rechner!$B$6,Rechner!$E$5+403,""))</f>
        <v/>
      </c>
      <c r="B405">
        <f>IF(A405="","",LOOKUP(A405,Basiszins!$A$5:$A$18,Basiszins!$B$5:$B$18))</f>
        <v/>
      </c>
      <c r="C405">
        <f>IF(A405="","",B405+Rechner!$E$7)</f>
        <v/>
      </c>
      <c r="D405">
        <f>J404</f>
        <v/>
      </c>
      <c r="E405">
        <f>IF(A405="",0,D405*C405/100/(DATE(YEAR(A405)+1,1,1)-DATE(YEAR(A405),1,1)))</f>
        <v/>
      </c>
      <c r="F405">
        <f>IF(A405="",0,SUMIF(Rechner!$A$12:$A$21,A405,Rechner!$B$12:$B$21))</f>
        <v/>
      </c>
      <c r="G405">
        <f>H404+E405</f>
        <v/>
      </c>
      <c r="H405">
        <f>G405-MIN(F405,G405)</f>
        <v/>
      </c>
      <c r="I405">
        <f>MIN(F405-MIN(F405,G405),D405)</f>
        <v/>
      </c>
      <c r="J405">
        <f>D405-I405</f>
        <v/>
      </c>
      <c r="K405">
        <f>F405-MIN(F405,G405)-I405</f>
        <v/>
      </c>
    </row>
    <row r="406">
      <c r="A406" s="21">
        <f>IF(Rechner!$E$4&lt;&gt;"ok","",IF(Rechner!$E$5+404&lt;=Rechner!$B$6,Rechner!$E$5+404,""))</f>
        <v/>
      </c>
      <c r="B406">
        <f>IF(A406="","",LOOKUP(A406,Basiszins!$A$5:$A$18,Basiszins!$B$5:$B$18))</f>
        <v/>
      </c>
      <c r="C406">
        <f>IF(A406="","",B406+Rechner!$E$7)</f>
        <v/>
      </c>
      <c r="D406">
        <f>J405</f>
        <v/>
      </c>
      <c r="E406">
        <f>IF(A406="",0,D406*C406/100/(DATE(YEAR(A406)+1,1,1)-DATE(YEAR(A406),1,1)))</f>
        <v/>
      </c>
      <c r="F406">
        <f>IF(A406="",0,SUMIF(Rechner!$A$12:$A$21,A406,Rechner!$B$12:$B$21))</f>
        <v/>
      </c>
      <c r="G406">
        <f>H405+E406</f>
        <v/>
      </c>
      <c r="H406">
        <f>G406-MIN(F406,G406)</f>
        <v/>
      </c>
      <c r="I406">
        <f>MIN(F406-MIN(F406,G406),D406)</f>
        <v/>
      </c>
      <c r="J406">
        <f>D406-I406</f>
        <v/>
      </c>
      <c r="K406">
        <f>F406-MIN(F406,G406)-I406</f>
        <v/>
      </c>
    </row>
    <row r="407">
      <c r="A407" s="21">
        <f>IF(Rechner!$E$4&lt;&gt;"ok","",IF(Rechner!$E$5+405&lt;=Rechner!$B$6,Rechner!$E$5+405,""))</f>
        <v/>
      </c>
      <c r="B407">
        <f>IF(A407="","",LOOKUP(A407,Basiszins!$A$5:$A$18,Basiszins!$B$5:$B$18))</f>
        <v/>
      </c>
      <c r="C407">
        <f>IF(A407="","",B407+Rechner!$E$7)</f>
        <v/>
      </c>
      <c r="D407">
        <f>J406</f>
        <v/>
      </c>
      <c r="E407">
        <f>IF(A407="",0,D407*C407/100/(DATE(YEAR(A407)+1,1,1)-DATE(YEAR(A407),1,1)))</f>
        <v/>
      </c>
      <c r="F407">
        <f>IF(A407="",0,SUMIF(Rechner!$A$12:$A$21,A407,Rechner!$B$12:$B$21))</f>
        <v/>
      </c>
      <c r="G407">
        <f>H406+E407</f>
        <v/>
      </c>
      <c r="H407">
        <f>G407-MIN(F407,G407)</f>
        <v/>
      </c>
      <c r="I407">
        <f>MIN(F407-MIN(F407,G407),D407)</f>
        <v/>
      </c>
      <c r="J407">
        <f>D407-I407</f>
        <v/>
      </c>
      <c r="K407">
        <f>F407-MIN(F407,G407)-I407</f>
        <v/>
      </c>
    </row>
    <row r="408">
      <c r="A408" s="21">
        <f>IF(Rechner!$E$4&lt;&gt;"ok","",IF(Rechner!$E$5+406&lt;=Rechner!$B$6,Rechner!$E$5+406,""))</f>
        <v/>
      </c>
      <c r="B408">
        <f>IF(A408="","",LOOKUP(A408,Basiszins!$A$5:$A$18,Basiszins!$B$5:$B$18))</f>
        <v/>
      </c>
      <c r="C408">
        <f>IF(A408="","",B408+Rechner!$E$7)</f>
        <v/>
      </c>
      <c r="D408">
        <f>J407</f>
        <v/>
      </c>
      <c r="E408">
        <f>IF(A408="",0,D408*C408/100/(DATE(YEAR(A408)+1,1,1)-DATE(YEAR(A408),1,1)))</f>
        <v/>
      </c>
      <c r="F408">
        <f>IF(A408="",0,SUMIF(Rechner!$A$12:$A$21,A408,Rechner!$B$12:$B$21))</f>
        <v/>
      </c>
      <c r="G408">
        <f>H407+E408</f>
        <v/>
      </c>
      <c r="H408">
        <f>G408-MIN(F408,G408)</f>
        <v/>
      </c>
      <c r="I408">
        <f>MIN(F408-MIN(F408,G408),D408)</f>
        <v/>
      </c>
      <c r="J408">
        <f>D408-I408</f>
        <v/>
      </c>
      <c r="K408">
        <f>F408-MIN(F408,G408)-I408</f>
        <v/>
      </c>
    </row>
    <row r="409">
      <c r="A409" s="21">
        <f>IF(Rechner!$E$4&lt;&gt;"ok","",IF(Rechner!$E$5+407&lt;=Rechner!$B$6,Rechner!$E$5+407,""))</f>
        <v/>
      </c>
      <c r="B409">
        <f>IF(A409="","",LOOKUP(A409,Basiszins!$A$5:$A$18,Basiszins!$B$5:$B$18))</f>
        <v/>
      </c>
      <c r="C409">
        <f>IF(A409="","",B409+Rechner!$E$7)</f>
        <v/>
      </c>
      <c r="D409">
        <f>J408</f>
        <v/>
      </c>
      <c r="E409">
        <f>IF(A409="",0,D409*C409/100/(DATE(YEAR(A409)+1,1,1)-DATE(YEAR(A409),1,1)))</f>
        <v/>
      </c>
      <c r="F409">
        <f>IF(A409="",0,SUMIF(Rechner!$A$12:$A$21,A409,Rechner!$B$12:$B$21))</f>
        <v/>
      </c>
      <c r="G409">
        <f>H408+E409</f>
        <v/>
      </c>
      <c r="H409">
        <f>G409-MIN(F409,G409)</f>
        <v/>
      </c>
      <c r="I409">
        <f>MIN(F409-MIN(F409,G409),D409)</f>
        <v/>
      </c>
      <c r="J409">
        <f>D409-I409</f>
        <v/>
      </c>
      <c r="K409">
        <f>F409-MIN(F409,G409)-I409</f>
        <v/>
      </c>
    </row>
    <row r="410">
      <c r="A410" s="21">
        <f>IF(Rechner!$E$4&lt;&gt;"ok","",IF(Rechner!$E$5+408&lt;=Rechner!$B$6,Rechner!$E$5+408,""))</f>
        <v/>
      </c>
      <c r="B410">
        <f>IF(A410="","",LOOKUP(A410,Basiszins!$A$5:$A$18,Basiszins!$B$5:$B$18))</f>
        <v/>
      </c>
      <c r="C410">
        <f>IF(A410="","",B410+Rechner!$E$7)</f>
        <v/>
      </c>
      <c r="D410">
        <f>J409</f>
        <v/>
      </c>
      <c r="E410">
        <f>IF(A410="",0,D410*C410/100/(DATE(YEAR(A410)+1,1,1)-DATE(YEAR(A410),1,1)))</f>
        <v/>
      </c>
      <c r="F410">
        <f>IF(A410="",0,SUMIF(Rechner!$A$12:$A$21,A410,Rechner!$B$12:$B$21))</f>
        <v/>
      </c>
      <c r="G410">
        <f>H409+E410</f>
        <v/>
      </c>
      <c r="H410">
        <f>G410-MIN(F410,G410)</f>
        <v/>
      </c>
      <c r="I410">
        <f>MIN(F410-MIN(F410,G410),D410)</f>
        <v/>
      </c>
      <c r="J410">
        <f>D410-I410</f>
        <v/>
      </c>
      <c r="K410">
        <f>F410-MIN(F410,G410)-I410</f>
        <v/>
      </c>
    </row>
    <row r="411">
      <c r="A411" s="21">
        <f>IF(Rechner!$E$4&lt;&gt;"ok","",IF(Rechner!$E$5+409&lt;=Rechner!$B$6,Rechner!$E$5+409,""))</f>
        <v/>
      </c>
      <c r="B411">
        <f>IF(A411="","",LOOKUP(A411,Basiszins!$A$5:$A$18,Basiszins!$B$5:$B$18))</f>
        <v/>
      </c>
      <c r="C411">
        <f>IF(A411="","",B411+Rechner!$E$7)</f>
        <v/>
      </c>
      <c r="D411">
        <f>J410</f>
        <v/>
      </c>
      <c r="E411">
        <f>IF(A411="",0,D411*C411/100/(DATE(YEAR(A411)+1,1,1)-DATE(YEAR(A411),1,1)))</f>
        <v/>
      </c>
      <c r="F411">
        <f>IF(A411="",0,SUMIF(Rechner!$A$12:$A$21,A411,Rechner!$B$12:$B$21))</f>
        <v/>
      </c>
      <c r="G411">
        <f>H410+E411</f>
        <v/>
      </c>
      <c r="H411">
        <f>G411-MIN(F411,G411)</f>
        <v/>
      </c>
      <c r="I411">
        <f>MIN(F411-MIN(F411,G411),D411)</f>
        <v/>
      </c>
      <c r="J411">
        <f>D411-I411</f>
        <v/>
      </c>
      <c r="K411">
        <f>F411-MIN(F411,G411)-I411</f>
        <v/>
      </c>
    </row>
    <row r="412">
      <c r="A412" s="21">
        <f>IF(Rechner!$E$4&lt;&gt;"ok","",IF(Rechner!$E$5+410&lt;=Rechner!$B$6,Rechner!$E$5+410,""))</f>
        <v/>
      </c>
      <c r="B412">
        <f>IF(A412="","",LOOKUP(A412,Basiszins!$A$5:$A$18,Basiszins!$B$5:$B$18))</f>
        <v/>
      </c>
      <c r="C412">
        <f>IF(A412="","",B412+Rechner!$E$7)</f>
        <v/>
      </c>
      <c r="D412">
        <f>J411</f>
        <v/>
      </c>
      <c r="E412">
        <f>IF(A412="",0,D412*C412/100/(DATE(YEAR(A412)+1,1,1)-DATE(YEAR(A412),1,1)))</f>
        <v/>
      </c>
      <c r="F412">
        <f>IF(A412="",0,SUMIF(Rechner!$A$12:$A$21,A412,Rechner!$B$12:$B$21))</f>
        <v/>
      </c>
      <c r="G412">
        <f>H411+E412</f>
        <v/>
      </c>
      <c r="H412">
        <f>G412-MIN(F412,G412)</f>
        <v/>
      </c>
      <c r="I412">
        <f>MIN(F412-MIN(F412,G412),D412)</f>
        <v/>
      </c>
      <c r="J412">
        <f>D412-I412</f>
        <v/>
      </c>
      <c r="K412">
        <f>F412-MIN(F412,G412)-I412</f>
        <v/>
      </c>
    </row>
    <row r="413">
      <c r="A413" s="21">
        <f>IF(Rechner!$E$4&lt;&gt;"ok","",IF(Rechner!$E$5+411&lt;=Rechner!$B$6,Rechner!$E$5+411,""))</f>
        <v/>
      </c>
      <c r="B413">
        <f>IF(A413="","",LOOKUP(A413,Basiszins!$A$5:$A$18,Basiszins!$B$5:$B$18))</f>
        <v/>
      </c>
      <c r="C413">
        <f>IF(A413="","",B413+Rechner!$E$7)</f>
        <v/>
      </c>
      <c r="D413">
        <f>J412</f>
        <v/>
      </c>
      <c r="E413">
        <f>IF(A413="",0,D413*C413/100/(DATE(YEAR(A413)+1,1,1)-DATE(YEAR(A413),1,1)))</f>
        <v/>
      </c>
      <c r="F413">
        <f>IF(A413="",0,SUMIF(Rechner!$A$12:$A$21,A413,Rechner!$B$12:$B$21))</f>
        <v/>
      </c>
      <c r="G413">
        <f>H412+E413</f>
        <v/>
      </c>
      <c r="H413">
        <f>G413-MIN(F413,G413)</f>
        <v/>
      </c>
      <c r="I413">
        <f>MIN(F413-MIN(F413,G413),D413)</f>
        <v/>
      </c>
      <c r="J413">
        <f>D413-I413</f>
        <v/>
      </c>
      <c r="K413">
        <f>F413-MIN(F413,G413)-I413</f>
        <v/>
      </c>
    </row>
    <row r="414">
      <c r="A414" s="21">
        <f>IF(Rechner!$E$4&lt;&gt;"ok","",IF(Rechner!$E$5+412&lt;=Rechner!$B$6,Rechner!$E$5+412,""))</f>
        <v/>
      </c>
      <c r="B414">
        <f>IF(A414="","",LOOKUP(A414,Basiszins!$A$5:$A$18,Basiszins!$B$5:$B$18))</f>
        <v/>
      </c>
      <c r="C414">
        <f>IF(A414="","",B414+Rechner!$E$7)</f>
        <v/>
      </c>
      <c r="D414">
        <f>J413</f>
        <v/>
      </c>
      <c r="E414">
        <f>IF(A414="",0,D414*C414/100/(DATE(YEAR(A414)+1,1,1)-DATE(YEAR(A414),1,1)))</f>
        <v/>
      </c>
      <c r="F414">
        <f>IF(A414="",0,SUMIF(Rechner!$A$12:$A$21,A414,Rechner!$B$12:$B$21))</f>
        <v/>
      </c>
      <c r="G414">
        <f>H413+E414</f>
        <v/>
      </c>
      <c r="H414">
        <f>G414-MIN(F414,G414)</f>
        <v/>
      </c>
      <c r="I414">
        <f>MIN(F414-MIN(F414,G414),D414)</f>
        <v/>
      </c>
      <c r="J414">
        <f>D414-I414</f>
        <v/>
      </c>
      <c r="K414">
        <f>F414-MIN(F414,G414)-I414</f>
        <v/>
      </c>
    </row>
    <row r="415">
      <c r="A415" s="21">
        <f>IF(Rechner!$E$4&lt;&gt;"ok","",IF(Rechner!$E$5+413&lt;=Rechner!$B$6,Rechner!$E$5+413,""))</f>
        <v/>
      </c>
      <c r="B415">
        <f>IF(A415="","",LOOKUP(A415,Basiszins!$A$5:$A$18,Basiszins!$B$5:$B$18))</f>
        <v/>
      </c>
      <c r="C415">
        <f>IF(A415="","",B415+Rechner!$E$7)</f>
        <v/>
      </c>
      <c r="D415">
        <f>J414</f>
        <v/>
      </c>
      <c r="E415">
        <f>IF(A415="",0,D415*C415/100/(DATE(YEAR(A415)+1,1,1)-DATE(YEAR(A415),1,1)))</f>
        <v/>
      </c>
      <c r="F415">
        <f>IF(A415="",0,SUMIF(Rechner!$A$12:$A$21,A415,Rechner!$B$12:$B$21))</f>
        <v/>
      </c>
      <c r="G415">
        <f>H414+E415</f>
        <v/>
      </c>
      <c r="H415">
        <f>G415-MIN(F415,G415)</f>
        <v/>
      </c>
      <c r="I415">
        <f>MIN(F415-MIN(F415,G415),D415)</f>
        <v/>
      </c>
      <c r="J415">
        <f>D415-I415</f>
        <v/>
      </c>
      <c r="K415">
        <f>F415-MIN(F415,G415)-I415</f>
        <v/>
      </c>
    </row>
    <row r="416">
      <c r="A416" s="21">
        <f>IF(Rechner!$E$4&lt;&gt;"ok","",IF(Rechner!$E$5+414&lt;=Rechner!$B$6,Rechner!$E$5+414,""))</f>
        <v/>
      </c>
      <c r="B416">
        <f>IF(A416="","",LOOKUP(A416,Basiszins!$A$5:$A$18,Basiszins!$B$5:$B$18))</f>
        <v/>
      </c>
      <c r="C416">
        <f>IF(A416="","",B416+Rechner!$E$7)</f>
        <v/>
      </c>
      <c r="D416">
        <f>J415</f>
        <v/>
      </c>
      <c r="E416">
        <f>IF(A416="",0,D416*C416/100/(DATE(YEAR(A416)+1,1,1)-DATE(YEAR(A416),1,1)))</f>
        <v/>
      </c>
      <c r="F416">
        <f>IF(A416="",0,SUMIF(Rechner!$A$12:$A$21,A416,Rechner!$B$12:$B$21))</f>
        <v/>
      </c>
      <c r="G416">
        <f>H415+E416</f>
        <v/>
      </c>
      <c r="H416">
        <f>G416-MIN(F416,G416)</f>
        <v/>
      </c>
      <c r="I416">
        <f>MIN(F416-MIN(F416,G416),D416)</f>
        <v/>
      </c>
      <c r="J416">
        <f>D416-I416</f>
        <v/>
      </c>
      <c r="K416">
        <f>F416-MIN(F416,G416)-I416</f>
        <v/>
      </c>
    </row>
    <row r="417">
      <c r="A417" s="21">
        <f>IF(Rechner!$E$4&lt;&gt;"ok","",IF(Rechner!$E$5+415&lt;=Rechner!$B$6,Rechner!$E$5+415,""))</f>
        <v/>
      </c>
      <c r="B417">
        <f>IF(A417="","",LOOKUP(A417,Basiszins!$A$5:$A$18,Basiszins!$B$5:$B$18))</f>
        <v/>
      </c>
      <c r="C417">
        <f>IF(A417="","",B417+Rechner!$E$7)</f>
        <v/>
      </c>
      <c r="D417">
        <f>J416</f>
        <v/>
      </c>
      <c r="E417">
        <f>IF(A417="",0,D417*C417/100/(DATE(YEAR(A417)+1,1,1)-DATE(YEAR(A417),1,1)))</f>
        <v/>
      </c>
      <c r="F417">
        <f>IF(A417="",0,SUMIF(Rechner!$A$12:$A$21,A417,Rechner!$B$12:$B$21))</f>
        <v/>
      </c>
      <c r="G417">
        <f>H416+E417</f>
        <v/>
      </c>
      <c r="H417">
        <f>G417-MIN(F417,G417)</f>
        <v/>
      </c>
      <c r="I417">
        <f>MIN(F417-MIN(F417,G417),D417)</f>
        <v/>
      </c>
      <c r="J417">
        <f>D417-I417</f>
        <v/>
      </c>
      <c r="K417">
        <f>F417-MIN(F417,G417)-I417</f>
        <v/>
      </c>
    </row>
    <row r="418">
      <c r="A418" s="21">
        <f>IF(Rechner!$E$4&lt;&gt;"ok","",IF(Rechner!$E$5+416&lt;=Rechner!$B$6,Rechner!$E$5+416,""))</f>
        <v/>
      </c>
      <c r="B418">
        <f>IF(A418="","",LOOKUP(A418,Basiszins!$A$5:$A$18,Basiszins!$B$5:$B$18))</f>
        <v/>
      </c>
      <c r="C418">
        <f>IF(A418="","",B418+Rechner!$E$7)</f>
        <v/>
      </c>
      <c r="D418">
        <f>J417</f>
        <v/>
      </c>
      <c r="E418">
        <f>IF(A418="",0,D418*C418/100/(DATE(YEAR(A418)+1,1,1)-DATE(YEAR(A418),1,1)))</f>
        <v/>
      </c>
      <c r="F418">
        <f>IF(A418="",0,SUMIF(Rechner!$A$12:$A$21,A418,Rechner!$B$12:$B$21))</f>
        <v/>
      </c>
      <c r="G418">
        <f>H417+E418</f>
        <v/>
      </c>
      <c r="H418">
        <f>G418-MIN(F418,G418)</f>
        <v/>
      </c>
      <c r="I418">
        <f>MIN(F418-MIN(F418,G418),D418)</f>
        <v/>
      </c>
      <c r="J418">
        <f>D418-I418</f>
        <v/>
      </c>
      <c r="K418">
        <f>F418-MIN(F418,G418)-I418</f>
        <v/>
      </c>
    </row>
    <row r="419">
      <c r="A419" s="21">
        <f>IF(Rechner!$E$4&lt;&gt;"ok","",IF(Rechner!$E$5+417&lt;=Rechner!$B$6,Rechner!$E$5+417,""))</f>
        <v/>
      </c>
      <c r="B419">
        <f>IF(A419="","",LOOKUP(A419,Basiszins!$A$5:$A$18,Basiszins!$B$5:$B$18))</f>
        <v/>
      </c>
      <c r="C419">
        <f>IF(A419="","",B419+Rechner!$E$7)</f>
        <v/>
      </c>
      <c r="D419">
        <f>J418</f>
        <v/>
      </c>
      <c r="E419">
        <f>IF(A419="",0,D419*C419/100/(DATE(YEAR(A419)+1,1,1)-DATE(YEAR(A419),1,1)))</f>
        <v/>
      </c>
      <c r="F419">
        <f>IF(A419="",0,SUMIF(Rechner!$A$12:$A$21,A419,Rechner!$B$12:$B$21))</f>
        <v/>
      </c>
      <c r="G419">
        <f>H418+E419</f>
        <v/>
      </c>
      <c r="H419">
        <f>G419-MIN(F419,G419)</f>
        <v/>
      </c>
      <c r="I419">
        <f>MIN(F419-MIN(F419,G419),D419)</f>
        <v/>
      </c>
      <c r="J419">
        <f>D419-I419</f>
        <v/>
      </c>
      <c r="K419">
        <f>F419-MIN(F419,G419)-I419</f>
        <v/>
      </c>
    </row>
    <row r="420">
      <c r="A420" s="21">
        <f>IF(Rechner!$E$4&lt;&gt;"ok","",IF(Rechner!$E$5+418&lt;=Rechner!$B$6,Rechner!$E$5+418,""))</f>
        <v/>
      </c>
      <c r="B420">
        <f>IF(A420="","",LOOKUP(A420,Basiszins!$A$5:$A$18,Basiszins!$B$5:$B$18))</f>
        <v/>
      </c>
      <c r="C420">
        <f>IF(A420="","",B420+Rechner!$E$7)</f>
        <v/>
      </c>
      <c r="D420">
        <f>J419</f>
        <v/>
      </c>
      <c r="E420">
        <f>IF(A420="",0,D420*C420/100/(DATE(YEAR(A420)+1,1,1)-DATE(YEAR(A420),1,1)))</f>
        <v/>
      </c>
      <c r="F420">
        <f>IF(A420="",0,SUMIF(Rechner!$A$12:$A$21,A420,Rechner!$B$12:$B$21))</f>
        <v/>
      </c>
      <c r="G420">
        <f>H419+E420</f>
        <v/>
      </c>
      <c r="H420">
        <f>G420-MIN(F420,G420)</f>
        <v/>
      </c>
      <c r="I420">
        <f>MIN(F420-MIN(F420,G420),D420)</f>
        <v/>
      </c>
      <c r="J420">
        <f>D420-I420</f>
        <v/>
      </c>
      <c r="K420">
        <f>F420-MIN(F420,G420)-I420</f>
        <v/>
      </c>
    </row>
    <row r="421">
      <c r="A421" s="21">
        <f>IF(Rechner!$E$4&lt;&gt;"ok","",IF(Rechner!$E$5+419&lt;=Rechner!$B$6,Rechner!$E$5+419,""))</f>
        <v/>
      </c>
      <c r="B421">
        <f>IF(A421="","",LOOKUP(A421,Basiszins!$A$5:$A$18,Basiszins!$B$5:$B$18))</f>
        <v/>
      </c>
      <c r="C421">
        <f>IF(A421="","",B421+Rechner!$E$7)</f>
        <v/>
      </c>
      <c r="D421">
        <f>J420</f>
        <v/>
      </c>
      <c r="E421">
        <f>IF(A421="",0,D421*C421/100/(DATE(YEAR(A421)+1,1,1)-DATE(YEAR(A421),1,1)))</f>
        <v/>
      </c>
      <c r="F421">
        <f>IF(A421="",0,SUMIF(Rechner!$A$12:$A$21,A421,Rechner!$B$12:$B$21))</f>
        <v/>
      </c>
      <c r="G421">
        <f>H420+E421</f>
        <v/>
      </c>
      <c r="H421">
        <f>G421-MIN(F421,G421)</f>
        <v/>
      </c>
      <c r="I421">
        <f>MIN(F421-MIN(F421,G421),D421)</f>
        <v/>
      </c>
      <c r="J421">
        <f>D421-I421</f>
        <v/>
      </c>
      <c r="K421">
        <f>F421-MIN(F421,G421)-I421</f>
        <v/>
      </c>
    </row>
    <row r="422">
      <c r="A422" s="21">
        <f>IF(Rechner!$E$4&lt;&gt;"ok","",IF(Rechner!$E$5+420&lt;=Rechner!$B$6,Rechner!$E$5+420,""))</f>
        <v/>
      </c>
      <c r="B422">
        <f>IF(A422="","",LOOKUP(A422,Basiszins!$A$5:$A$18,Basiszins!$B$5:$B$18))</f>
        <v/>
      </c>
      <c r="C422">
        <f>IF(A422="","",B422+Rechner!$E$7)</f>
        <v/>
      </c>
      <c r="D422">
        <f>J421</f>
        <v/>
      </c>
      <c r="E422">
        <f>IF(A422="",0,D422*C422/100/(DATE(YEAR(A422)+1,1,1)-DATE(YEAR(A422),1,1)))</f>
        <v/>
      </c>
      <c r="F422">
        <f>IF(A422="",0,SUMIF(Rechner!$A$12:$A$21,A422,Rechner!$B$12:$B$21))</f>
        <v/>
      </c>
      <c r="G422">
        <f>H421+E422</f>
        <v/>
      </c>
      <c r="H422">
        <f>G422-MIN(F422,G422)</f>
        <v/>
      </c>
      <c r="I422">
        <f>MIN(F422-MIN(F422,G422),D422)</f>
        <v/>
      </c>
      <c r="J422">
        <f>D422-I422</f>
        <v/>
      </c>
      <c r="K422">
        <f>F422-MIN(F422,G422)-I422</f>
        <v/>
      </c>
    </row>
    <row r="423">
      <c r="A423" s="21">
        <f>IF(Rechner!$E$4&lt;&gt;"ok","",IF(Rechner!$E$5+421&lt;=Rechner!$B$6,Rechner!$E$5+421,""))</f>
        <v/>
      </c>
      <c r="B423">
        <f>IF(A423="","",LOOKUP(A423,Basiszins!$A$5:$A$18,Basiszins!$B$5:$B$18))</f>
        <v/>
      </c>
      <c r="C423">
        <f>IF(A423="","",B423+Rechner!$E$7)</f>
        <v/>
      </c>
      <c r="D423">
        <f>J422</f>
        <v/>
      </c>
      <c r="E423">
        <f>IF(A423="",0,D423*C423/100/(DATE(YEAR(A423)+1,1,1)-DATE(YEAR(A423),1,1)))</f>
        <v/>
      </c>
      <c r="F423">
        <f>IF(A423="",0,SUMIF(Rechner!$A$12:$A$21,A423,Rechner!$B$12:$B$21))</f>
        <v/>
      </c>
      <c r="G423">
        <f>H422+E423</f>
        <v/>
      </c>
      <c r="H423">
        <f>G423-MIN(F423,G423)</f>
        <v/>
      </c>
      <c r="I423">
        <f>MIN(F423-MIN(F423,G423),D423)</f>
        <v/>
      </c>
      <c r="J423">
        <f>D423-I423</f>
        <v/>
      </c>
      <c r="K423">
        <f>F423-MIN(F423,G423)-I423</f>
        <v/>
      </c>
    </row>
    <row r="424">
      <c r="A424" s="21">
        <f>IF(Rechner!$E$4&lt;&gt;"ok","",IF(Rechner!$E$5+422&lt;=Rechner!$B$6,Rechner!$E$5+422,""))</f>
        <v/>
      </c>
      <c r="B424">
        <f>IF(A424="","",LOOKUP(A424,Basiszins!$A$5:$A$18,Basiszins!$B$5:$B$18))</f>
        <v/>
      </c>
      <c r="C424">
        <f>IF(A424="","",B424+Rechner!$E$7)</f>
        <v/>
      </c>
      <c r="D424">
        <f>J423</f>
        <v/>
      </c>
      <c r="E424">
        <f>IF(A424="",0,D424*C424/100/(DATE(YEAR(A424)+1,1,1)-DATE(YEAR(A424),1,1)))</f>
        <v/>
      </c>
      <c r="F424">
        <f>IF(A424="",0,SUMIF(Rechner!$A$12:$A$21,A424,Rechner!$B$12:$B$21))</f>
        <v/>
      </c>
      <c r="G424">
        <f>H423+E424</f>
        <v/>
      </c>
      <c r="H424">
        <f>G424-MIN(F424,G424)</f>
        <v/>
      </c>
      <c r="I424">
        <f>MIN(F424-MIN(F424,G424),D424)</f>
        <v/>
      </c>
      <c r="J424">
        <f>D424-I424</f>
        <v/>
      </c>
      <c r="K424">
        <f>F424-MIN(F424,G424)-I424</f>
        <v/>
      </c>
    </row>
    <row r="425">
      <c r="A425" s="21">
        <f>IF(Rechner!$E$4&lt;&gt;"ok","",IF(Rechner!$E$5+423&lt;=Rechner!$B$6,Rechner!$E$5+423,""))</f>
        <v/>
      </c>
      <c r="B425">
        <f>IF(A425="","",LOOKUP(A425,Basiszins!$A$5:$A$18,Basiszins!$B$5:$B$18))</f>
        <v/>
      </c>
      <c r="C425">
        <f>IF(A425="","",B425+Rechner!$E$7)</f>
        <v/>
      </c>
      <c r="D425">
        <f>J424</f>
        <v/>
      </c>
      <c r="E425">
        <f>IF(A425="",0,D425*C425/100/(DATE(YEAR(A425)+1,1,1)-DATE(YEAR(A425),1,1)))</f>
        <v/>
      </c>
      <c r="F425">
        <f>IF(A425="",0,SUMIF(Rechner!$A$12:$A$21,A425,Rechner!$B$12:$B$21))</f>
        <v/>
      </c>
      <c r="G425">
        <f>H424+E425</f>
        <v/>
      </c>
      <c r="H425">
        <f>G425-MIN(F425,G425)</f>
        <v/>
      </c>
      <c r="I425">
        <f>MIN(F425-MIN(F425,G425),D425)</f>
        <v/>
      </c>
      <c r="J425">
        <f>D425-I425</f>
        <v/>
      </c>
      <c r="K425">
        <f>F425-MIN(F425,G425)-I425</f>
        <v/>
      </c>
    </row>
    <row r="426">
      <c r="A426" s="21">
        <f>IF(Rechner!$E$4&lt;&gt;"ok","",IF(Rechner!$E$5+424&lt;=Rechner!$B$6,Rechner!$E$5+424,""))</f>
        <v/>
      </c>
      <c r="B426">
        <f>IF(A426="","",LOOKUP(A426,Basiszins!$A$5:$A$18,Basiszins!$B$5:$B$18))</f>
        <v/>
      </c>
      <c r="C426">
        <f>IF(A426="","",B426+Rechner!$E$7)</f>
        <v/>
      </c>
      <c r="D426">
        <f>J425</f>
        <v/>
      </c>
      <c r="E426">
        <f>IF(A426="",0,D426*C426/100/(DATE(YEAR(A426)+1,1,1)-DATE(YEAR(A426),1,1)))</f>
        <v/>
      </c>
      <c r="F426">
        <f>IF(A426="",0,SUMIF(Rechner!$A$12:$A$21,A426,Rechner!$B$12:$B$21))</f>
        <v/>
      </c>
      <c r="G426">
        <f>H425+E426</f>
        <v/>
      </c>
      <c r="H426">
        <f>G426-MIN(F426,G426)</f>
        <v/>
      </c>
      <c r="I426">
        <f>MIN(F426-MIN(F426,G426),D426)</f>
        <v/>
      </c>
      <c r="J426">
        <f>D426-I426</f>
        <v/>
      </c>
      <c r="K426">
        <f>F426-MIN(F426,G426)-I426</f>
        <v/>
      </c>
    </row>
    <row r="427">
      <c r="A427" s="21">
        <f>IF(Rechner!$E$4&lt;&gt;"ok","",IF(Rechner!$E$5+425&lt;=Rechner!$B$6,Rechner!$E$5+425,""))</f>
        <v/>
      </c>
      <c r="B427">
        <f>IF(A427="","",LOOKUP(A427,Basiszins!$A$5:$A$18,Basiszins!$B$5:$B$18))</f>
        <v/>
      </c>
      <c r="C427">
        <f>IF(A427="","",B427+Rechner!$E$7)</f>
        <v/>
      </c>
      <c r="D427">
        <f>J426</f>
        <v/>
      </c>
      <c r="E427">
        <f>IF(A427="",0,D427*C427/100/(DATE(YEAR(A427)+1,1,1)-DATE(YEAR(A427),1,1)))</f>
        <v/>
      </c>
      <c r="F427">
        <f>IF(A427="",0,SUMIF(Rechner!$A$12:$A$21,A427,Rechner!$B$12:$B$21))</f>
        <v/>
      </c>
      <c r="G427">
        <f>H426+E427</f>
        <v/>
      </c>
      <c r="H427">
        <f>G427-MIN(F427,G427)</f>
        <v/>
      </c>
      <c r="I427">
        <f>MIN(F427-MIN(F427,G427),D427)</f>
        <v/>
      </c>
      <c r="J427">
        <f>D427-I427</f>
        <v/>
      </c>
      <c r="K427">
        <f>F427-MIN(F427,G427)-I427</f>
        <v/>
      </c>
    </row>
    <row r="428">
      <c r="A428" s="21">
        <f>IF(Rechner!$E$4&lt;&gt;"ok","",IF(Rechner!$E$5+426&lt;=Rechner!$B$6,Rechner!$E$5+426,""))</f>
        <v/>
      </c>
      <c r="B428">
        <f>IF(A428="","",LOOKUP(A428,Basiszins!$A$5:$A$18,Basiszins!$B$5:$B$18))</f>
        <v/>
      </c>
      <c r="C428">
        <f>IF(A428="","",B428+Rechner!$E$7)</f>
        <v/>
      </c>
      <c r="D428">
        <f>J427</f>
        <v/>
      </c>
      <c r="E428">
        <f>IF(A428="",0,D428*C428/100/(DATE(YEAR(A428)+1,1,1)-DATE(YEAR(A428),1,1)))</f>
        <v/>
      </c>
      <c r="F428">
        <f>IF(A428="",0,SUMIF(Rechner!$A$12:$A$21,A428,Rechner!$B$12:$B$21))</f>
        <v/>
      </c>
      <c r="G428">
        <f>H427+E428</f>
        <v/>
      </c>
      <c r="H428">
        <f>G428-MIN(F428,G428)</f>
        <v/>
      </c>
      <c r="I428">
        <f>MIN(F428-MIN(F428,G428),D428)</f>
        <v/>
      </c>
      <c r="J428">
        <f>D428-I428</f>
        <v/>
      </c>
      <c r="K428">
        <f>F428-MIN(F428,G428)-I428</f>
        <v/>
      </c>
    </row>
    <row r="429">
      <c r="A429" s="21">
        <f>IF(Rechner!$E$4&lt;&gt;"ok","",IF(Rechner!$E$5+427&lt;=Rechner!$B$6,Rechner!$E$5+427,""))</f>
        <v/>
      </c>
      <c r="B429">
        <f>IF(A429="","",LOOKUP(A429,Basiszins!$A$5:$A$18,Basiszins!$B$5:$B$18))</f>
        <v/>
      </c>
      <c r="C429">
        <f>IF(A429="","",B429+Rechner!$E$7)</f>
        <v/>
      </c>
      <c r="D429">
        <f>J428</f>
        <v/>
      </c>
      <c r="E429">
        <f>IF(A429="",0,D429*C429/100/(DATE(YEAR(A429)+1,1,1)-DATE(YEAR(A429),1,1)))</f>
        <v/>
      </c>
      <c r="F429">
        <f>IF(A429="",0,SUMIF(Rechner!$A$12:$A$21,A429,Rechner!$B$12:$B$21))</f>
        <v/>
      </c>
      <c r="G429">
        <f>H428+E429</f>
        <v/>
      </c>
      <c r="H429">
        <f>G429-MIN(F429,G429)</f>
        <v/>
      </c>
      <c r="I429">
        <f>MIN(F429-MIN(F429,G429),D429)</f>
        <v/>
      </c>
      <c r="J429">
        <f>D429-I429</f>
        <v/>
      </c>
      <c r="K429">
        <f>F429-MIN(F429,G429)-I429</f>
        <v/>
      </c>
    </row>
    <row r="430">
      <c r="A430" s="21">
        <f>IF(Rechner!$E$4&lt;&gt;"ok","",IF(Rechner!$E$5+428&lt;=Rechner!$B$6,Rechner!$E$5+428,""))</f>
        <v/>
      </c>
      <c r="B430">
        <f>IF(A430="","",LOOKUP(A430,Basiszins!$A$5:$A$18,Basiszins!$B$5:$B$18))</f>
        <v/>
      </c>
      <c r="C430">
        <f>IF(A430="","",B430+Rechner!$E$7)</f>
        <v/>
      </c>
      <c r="D430">
        <f>J429</f>
        <v/>
      </c>
      <c r="E430">
        <f>IF(A430="",0,D430*C430/100/(DATE(YEAR(A430)+1,1,1)-DATE(YEAR(A430),1,1)))</f>
        <v/>
      </c>
      <c r="F430">
        <f>IF(A430="",0,SUMIF(Rechner!$A$12:$A$21,A430,Rechner!$B$12:$B$21))</f>
        <v/>
      </c>
      <c r="G430">
        <f>H429+E430</f>
        <v/>
      </c>
      <c r="H430">
        <f>G430-MIN(F430,G430)</f>
        <v/>
      </c>
      <c r="I430">
        <f>MIN(F430-MIN(F430,G430),D430)</f>
        <v/>
      </c>
      <c r="J430">
        <f>D430-I430</f>
        <v/>
      </c>
      <c r="K430">
        <f>F430-MIN(F430,G430)-I430</f>
        <v/>
      </c>
    </row>
    <row r="431">
      <c r="A431" s="21">
        <f>IF(Rechner!$E$4&lt;&gt;"ok","",IF(Rechner!$E$5+429&lt;=Rechner!$B$6,Rechner!$E$5+429,""))</f>
        <v/>
      </c>
      <c r="B431">
        <f>IF(A431="","",LOOKUP(A431,Basiszins!$A$5:$A$18,Basiszins!$B$5:$B$18))</f>
        <v/>
      </c>
      <c r="C431">
        <f>IF(A431="","",B431+Rechner!$E$7)</f>
        <v/>
      </c>
      <c r="D431">
        <f>J430</f>
        <v/>
      </c>
      <c r="E431">
        <f>IF(A431="",0,D431*C431/100/(DATE(YEAR(A431)+1,1,1)-DATE(YEAR(A431),1,1)))</f>
        <v/>
      </c>
      <c r="F431">
        <f>IF(A431="",0,SUMIF(Rechner!$A$12:$A$21,A431,Rechner!$B$12:$B$21))</f>
        <v/>
      </c>
      <c r="G431">
        <f>H430+E431</f>
        <v/>
      </c>
      <c r="H431">
        <f>G431-MIN(F431,G431)</f>
        <v/>
      </c>
      <c r="I431">
        <f>MIN(F431-MIN(F431,G431),D431)</f>
        <v/>
      </c>
      <c r="J431">
        <f>D431-I431</f>
        <v/>
      </c>
      <c r="K431">
        <f>F431-MIN(F431,G431)-I431</f>
        <v/>
      </c>
    </row>
    <row r="432">
      <c r="A432" s="21">
        <f>IF(Rechner!$E$4&lt;&gt;"ok","",IF(Rechner!$E$5+430&lt;=Rechner!$B$6,Rechner!$E$5+430,""))</f>
        <v/>
      </c>
      <c r="B432">
        <f>IF(A432="","",LOOKUP(A432,Basiszins!$A$5:$A$18,Basiszins!$B$5:$B$18))</f>
        <v/>
      </c>
      <c r="C432">
        <f>IF(A432="","",B432+Rechner!$E$7)</f>
        <v/>
      </c>
      <c r="D432">
        <f>J431</f>
        <v/>
      </c>
      <c r="E432">
        <f>IF(A432="",0,D432*C432/100/(DATE(YEAR(A432)+1,1,1)-DATE(YEAR(A432),1,1)))</f>
        <v/>
      </c>
      <c r="F432">
        <f>IF(A432="",0,SUMIF(Rechner!$A$12:$A$21,A432,Rechner!$B$12:$B$21))</f>
        <v/>
      </c>
      <c r="G432">
        <f>H431+E432</f>
        <v/>
      </c>
      <c r="H432">
        <f>G432-MIN(F432,G432)</f>
        <v/>
      </c>
      <c r="I432">
        <f>MIN(F432-MIN(F432,G432),D432)</f>
        <v/>
      </c>
      <c r="J432">
        <f>D432-I432</f>
        <v/>
      </c>
      <c r="K432">
        <f>F432-MIN(F432,G432)-I432</f>
        <v/>
      </c>
    </row>
    <row r="433">
      <c r="A433" s="21">
        <f>IF(Rechner!$E$4&lt;&gt;"ok","",IF(Rechner!$E$5+431&lt;=Rechner!$B$6,Rechner!$E$5+431,""))</f>
        <v/>
      </c>
      <c r="B433">
        <f>IF(A433="","",LOOKUP(A433,Basiszins!$A$5:$A$18,Basiszins!$B$5:$B$18))</f>
        <v/>
      </c>
      <c r="C433">
        <f>IF(A433="","",B433+Rechner!$E$7)</f>
        <v/>
      </c>
      <c r="D433">
        <f>J432</f>
        <v/>
      </c>
      <c r="E433">
        <f>IF(A433="",0,D433*C433/100/(DATE(YEAR(A433)+1,1,1)-DATE(YEAR(A433),1,1)))</f>
        <v/>
      </c>
      <c r="F433">
        <f>IF(A433="",0,SUMIF(Rechner!$A$12:$A$21,A433,Rechner!$B$12:$B$21))</f>
        <v/>
      </c>
      <c r="G433">
        <f>H432+E433</f>
        <v/>
      </c>
      <c r="H433">
        <f>G433-MIN(F433,G433)</f>
        <v/>
      </c>
      <c r="I433">
        <f>MIN(F433-MIN(F433,G433),D433)</f>
        <v/>
      </c>
      <c r="J433">
        <f>D433-I433</f>
        <v/>
      </c>
      <c r="K433">
        <f>F433-MIN(F433,G433)-I433</f>
        <v/>
      </c>
    </row>
    <row r="434">
      <c r="A434" s="21">
        <f>IF(Rechner!$E$4&lt;&gt;"ok","",IF(Rechner!$E$5+432&lt;=Rechner!$B$6,Rechner!$E$5+432,""))</f>
        <v/>
      </c>
      <c r="B434">
        <f>IF(A434="","",LOOKUP(A434,Basiszins!$A$5:$A$18,Basiszins!$B$5:$B$18))</f>
        <v/>
      </c>
      <c r="C434">
        <f>IF(A434="","",B434+Rechner!$E$7)</f>
        <v/>
      </c>
      <c r="D434">
        <f>J433</f>
        <v/>
      </c>
      <c r="E434">
        <f>IF(A434="",0,D434*C434/100/(DATE(YEAR(A434)+1,1,1)-DATE(YEAR(A434),1,1)))</f>
        <v/>
      </c>
      <c r="F434">
        <f>IF(A434="",0,SUMIF(Rechner!$A$12:$A$21,A434,Rechner!$B$12:$B$21))</f>
        <v/>
      </c>
      <c r="G434">
        <f>H433+E434</f>
        <v/>
      </c>
      <c r="H434">
        <f>G434-MIN(F434,G434)</f>
        <v/>
      </c>
      <c r="I434">
        <f>MIN(F434-MIN(F434,G434),D434)</f>
        <v/>
      </c>
      <c r="J434">
        <f>D434-I434</f>
        <v/>
      </c>
      <c r="K434">
        <f>F434-MIN(F434,G434)-I434</f>
        <v/>
      </c>
    </row>
    <row r="435">
      <c r="A435" s="21">
        <f>IF(Rechner!$E$4&lt;&gt;"ok","",IF(Rechner!$E$5+433&lt;=Rechner!$B$6,Rechner!$E$5+433,""))</f>
        <v/>
      </c>
      <c r="B435">
        <f>IF(A435="","",LOOKUP(A435,Basiszins!$A$5:$A$18,Basiszins!$B$5:$B$18))</f>
        <v/>
      </c>
      <c r="C435">
        <f>IF(A435="","",B435+Rechner!$E$7)</f>
        <v/>
      </c>
      <c r="D435">
        <f>J434</f>
        <v/>
      </c>
      <c r="E435">
        <f>IF(A435="",0,D435*C435/100/(DATE(YEAR(A435)+1,1,1)-DATE(YEAR(A435),1,1)))</f>
        <v/>
      </c>
      <c r="F435">
        <f>IF(A435="",0,SUMIF(Rechner!$A$12:$A$21,A435,Rechner!$B$12:$B$21))</f>
        <v/>
      </c>
      <c r="G435">
        <f>H434+E435</f>
        <v/>
      </c>
      <c r="H435">
        <f>G435-MIN(F435,G435)</f>
        <v/>
      </c>
      <c r="I435">
        <f>MIN(F435-MIN(F435,G435),D435)</f>
        <v/>
      </c>
      <c r="J435">
        <f>D435-I435</f>
        <v/>
      </c>
      <c r="K435">
        <f>F435-MIN(F435,G435)-I435</f>
        <v/>
      </c>
    </row>
    <row r="436">
      <c r="A436" s="21">
        <f>IF(Rechner!$E$4&lt;&gt;"ok","",IF(Rechner!$E$5+434&lt;=Rechner!$B$6,Rechner!$E$5+434,""))</f>
        <v/>
      </c>
      <c r="B436">
        <f>IF(A436="","",LOOKUP(A436,Basiszins!$A$5:$A$18,Basiszins!$B$5:$B$18))</f>
        <v/>
      </c>
      <c r="C436">
        <f>IF(A436="","",B436+Rechner!$E$7)</f>
        <v/>
      </c>
      <c r="D436">
        <f>J435</f>
        <v/>
      </c>
      <c r="E436">
        <f>IF(A436="",0,D436*C436/100/(DATE(YEAR(A436)+1,1,1)-DATE(YEAR(A436),1,1)))</f>
        <v/>
      </c>
      <c r="F436">
        <f>IF(A436="",0,SUMIF(Rechner!$A$12:$A$21,A436,Rechner!$B$12:$B$21))</f>
        <v/>
      </c>
      <c r="G436">
        <f>H435+E436</f>
        <v/>
      </c>
      <c r="H436">
        <f>G436-MIN(F436,G436)</f>
        <v/>
      </c>
      <c r="I436">
        <f>MIN(F436-MIN(F436,G436),D436)</f>
        <v/>
      </c>
      <c r="J436">
        <f>D436-I436</f>
        <v/>
      </c>
      <c r="K436">
        <f>F436-MIN(F436,G436)-I436</f>
        <v/>
      </c>
    </row>
    <row r="437">
      <c r="A437" s="21">
        <f>IF(Rechner!$E$4&lt;&gt;"ok","",IF(Rechner!$E$5+435&lt;=Rechner!$B$6,Rechner!$E$5+435,""))</f>
        <v/>
      </c>
      <c r="B437">
        <f>IF(A437="","",LOOKUP(A437,Basiszins!$A$5:$A$18,Basiszins!$B$5:$B$18))</f>
        <v/>
      </c>
      <c r="C437">
        <f>IF(A437="","",B437+Rechner!$E$7)</f>
        <v/>
      </c>
      <c r="D437">
        <f>J436</f>
        <v/>
      </c>
      <c r="E437">
        <f>IF(A437="",0,D437*C437/100/(DATE(YEAR(A437)+1,1,1)-DATE(YEAR(A437),1,1)))</f>
        <v/>
      </c>
      <c r="F437">
        <f>IF(A437="",0,SUMIF(Rechner!$A$12:$A$21,A437,Rechner!$B$12:$B$21))</f>
        <v/>
      </c>
      <c r="G437">
        <f>H436+E437</f>
        <v/>
      </c>
      <c r="H437">
        <f>G437-MIN(F437,G437)</f>
        <v/>
      </c>
      <c r="I437">
        <f>MIN(F437-MIN(F437,G437),D437)</f>
        <v/>
      </c>
      <c r="J437">
        <f>D437-I437</f>
        <v/>
      </c>
      <c r="K437">
        <f>F437-MIN(F437,G437)-I437</f>
        <v/>
      </c>
    </row>
    <row r="438">
      <c r="A438" s="21">
        <f>IF(Rechner!$E$4&lt;&gt;"ok","",IF(Rechner!$E$5+436&lt;=Rechner!$B$6,Rechner!$E$5+436,""))</f>
        <v/>
      </c>
      <c r="B438">
        <f>IF(A438="","",LOOKUP(A438,Basiszins!$A$5:$A$18,Basiszins!$B$5:$B$18))</f>
        <v/>
      </c>
      <c r="C438">
        <f>IF(A438="","",B438+Rechner!$E$7)</f>
        <v/>
      </c>
      <c r="D438">
        <f>J437</f>
        <v/>
      </c>
      <c r="E438">
        <f>IF(A438="",0,D438*C438/100/(DATE(YEAR(A438)+1,1,1)-DATE(YEAR(A438),1,1)))</f>
        <v/>
      </c>
      <c r="F438">
        <f>IF(A438="",0,SUMIF(Rechner!$A$12:$A$21,A438,Rechner!$B$12:$B$21))</f>
        <v/>
      </c>
      <c r="G438">
        <f>H437+E438</f>
        <v/>
      </c>
      <c r="H438">
        <f>G438-MIN(F438,G438)</f>
        <v/>
      </c>
      <c r="I438">
        <f>MIN(F438-MIN(F438,G438),D438)</f>
        <v/>
      </c>
      <c r="J438">
        <f>D438-I438</f>
        <v/>
      </c>
      <c r="K438">
        <f>F438-MIN(F438,G438)-I438</f>
        <v/>
      </c>
    </row>
    <row r="439">
      <c r="A439" s="21">
        <f>IF(Rechner!$E$4&lt;&gt;"ok","",IF(Rechner!$E$5+437&lt;=Rechner!$B$6,Rechner!$E$5+437,""))</f>
        <v/>
      </c>
      <c r="B439">
        <f>IF(A439="","",LOOKUP(A439,Basiszins!$A$5:$A$18,Basiszins!$B$5:$B$18))</f>
        <v/>
      </c>
      <c r="C439">
        <f>IF(A439="","",B439+Rechner!$E$7)</f>
        <v/>
      </c>
      <c r="D439">
        <f>J438</f>
        <v/>
      </c>
      <c r="E439">
        <f>IF(A439="",0,D439*C439/100/(DATE(YEAR(A439)+1,1,1)-DATE(YEAR(A439),1,1)))</f>
        <v/>
      </c>
      <c r="F439">
        <f>IF(A439="",0,SUMIF(Rechner!$A$12:$A$21,A439,Rechner!$B$12:$B$21))</f>
        <v/>
      </c>
      <c r="G439">
        <f>H438+E439</f>
        <v/>
      </c>
      <c r="H439">
        <f>G439-MIN(F439,G439)</f>
        <v/>
      </c>
      <c r="I439">
        <f>MIN(F439-MIN(F439,G439),D439)</f>
        <v/>
      </c>
      <c r="J439">
        <f>D439-I439</f>
        <v/>
      </c>
      <c r="K439">
        <f>F439-MIN(F439,G439)-I439</f>
        <v/>
      </c>
    </row>
    <row r="440">
      <c r="A440" s="21">
        <f>IF(Rechner!$E$4&lt;&gt;"ok","",IF(Rechner!$E$5+438&lt;=Rechner!$B$6,Rechner!$E$5+438,""))</f>
        <v/>
      </c>
      <c r="B440">
        <f>IF(A440="","",LOOKUP(A440,Basiszins!$A$5:$A$18,Basiszins!$B$5:$B$18))</f>
        <v/>
      </c>
      <c r="C440">
        <f>IF(A440="","",B440+Rechner!$E$7)</f>
        <v/>
      </c>
      <c r="D440">
        <f>J439</f>
        <v/>
      </c>
      <c r="E440">
        <f>IF(A440="",0,D440*C440/100/(DATE(YEAR(A440)+1,1,1)-DATE(YEAR(A440),1,1)))</f>
        <v/>
      </c>
      <c r="F440">
        <f>IF(A440="",0,SUMIF(Rechner!$A$12:$A$21,A440,Rechner!$B$12:$B$21))</f>
        <v/>
      </c>
      <c r="G440">
        <f>H439+E440</f>
        <v/>
      </c>
      <c r="H440">
        <f>G440-MIN(F440,G440)</f>
        <v/>
      </c>
      <c r="I440">
        <f>MIN(F440-MIN(F440,G440),D440)</f>
        <v/>
      </c>
      <c r="J440">
        <f>D440-I440</f>
        <v/>
      </c>
      <c r="K440">
        <f>F440-MIN(F440,G440)-I440</f>
        <v/>
      </c>
    </row>
    <row r="441">
      <c r="A441" s="21">
        <f>IF(Rechner!$E$4&lt;&gt;"ok","",IF(Rechner!$E$5+439&lt;=Rechner!$B$6,Rechner!$E$5+439,""))</f>
        <v/>
      </c>
      <c r="B441">
        <f>IF(A441="","",LOOKUP(A441,Basiszins!$A$5:$A$18,Basiszins!$B$5:$B$18))</f>
        <v/>
      </c>
      <c r="C441">
        <f>IF(A441="","",B441+Rechner!$E$7)</f>
        <v/>
      </c>
      <c r="D441">
        <f>J440</f>
        <v/>
      </c>
      <c r="E441">
        <f>IF(A441="",0,D441*C441/100/(DATE(YEAR(A441)+1,1,1)-DATE(YEAR(A441),1,1)))</f>
        <v/>
      </c>
      <c r="F441">
        <f>IF(A441="",0,SUMIF(Rechner!$A$12:$A$21,A441,Rechner!$B$12:$B$21))</f>
        <v/>
      </c>
      <c r="G441">
        <f>H440+E441</f>
        <v/>
      </c>
      <c r="H441">
        <f>G441-MIN(F441,G441)</f>
        <v/>
      </c>
      <c r="I441">
        <f>MIN(F441-MIN(F441,G441),D441)</f>
        <v/>
      </c>
      <c r="J441">
        <f>D441-I441</f>
        <v/>
      </c>
      <c r="K441">
        <f>F441-MIN(F441,G441)-I441</f>
        <v/>
      </c>
    </row>
    <row r="442">
      <c r="A442" s="21">
        <f>IF(Rechner!$E$4&lt;&gt;"ok","",IF(Rechner!$E$5+440&lt;=Rechner!$B$6,Rechner!$E$5+440,""))</f>
        <v/>
      </c>
      <c r="B442">
        <f>IF(A442="","",LOOKUP(A442,Basiszins!$A$5:$A$18,Basiszins!$B$5:$B$18))</f>
        <v/>
      </c>
      <c r="C442">
        <f>IF(A442="","",B442+Rechner!$E$7)</f>
        <v/>
      </c>
      <c r="D442">
        <f>J441</f>
        <v/>
      </c>
      <c r="E442">
        <f>IF(A442="",0,D442*C442/100/(DATE(YEAR(A442)+1,1,1)-DATE(YEAR(A442),1,1)))</f>
        <v/>
      </c>
      <c r="F442">
        <f>IF(A442="",0,SUMIF(Rechner!$A$12:$A$21,A442,Rechner!$B$12:$B$21))</f>
        <v/>
      </c>
      <c r="G442">
        <f>H441+E442</f>
        <v/>
      </c>
      <c r="H442">
        <f>G442-MIN(F442,G442)</f>
        <v/>
      </c>
      <c r="I442">
        <f>MIN(F442-MIN(F442,G442),D442)</f>
        <v/>
      </c>
      <c r="J442">
        <f>D442-I442</f>
        <v/>
      </c>
      <c r="K442">
        <f>F442-MIN(F442,G442)-I442</f>
        <v/>
      </c>
    </row>
    <row r="443">
      <c r="A443" s="21">
        <f>IF(Rechner!$E$4&lt;&gt;"ok","",IF(Rechner!$E$5+441&lt;=Rechner!$B$6,Rechner!$E$5+441,""))</f>
        <v/>
      </c>
      <c r="B443">
        <f>IF(A443="","",LOOKUP(A443,Basiszins!$A$5:$A$18,Basiszins!$B$5:$B$18))</f>
        <v/>
      </c>
      <c r="C443">
        <f>IF(A443="","",B443+Rechner!$E$7)</f>
        <v/>
      </c>
      <c r="D443">
        <f>J442</f>
        <v/>
      </c>
      <c r="E443">
        <f>IF(A443="",0,D443*C443/100/(DATE(YEAR(A443)+1,1,1)-DATE(YEAR(A443),1,1)))</f>
        <v/>
      </c>
      <c r="F443">
        <f>IF(A443="",0,SUMIF(Rechner!$A$12:$A$21,A443,Rechner!$B$12:$B$21))</f>
        <v/>
      </c>
      <c r="G443">
        <f>H442+E443</f>
        <v/>
      </c>
      <c r="H443">
        <f>G443-MIN(F443,G443)</f>
        <v/>
      </c>
      <c r="I443">
        <f>MIN(F443-MIN(F443,G443),D443)</f>
        <v/>
      </c>
      <c r="J443">
        <f>D443-I443</f>
        <v/>
      </c>
      <c r="K443">
        <f>F443-MIN(F443,G443)-I443</f>
        <v/>
      </c>
    </row>
    <row r="444">
      <c r="A444" s="21">
        <f>IF(Rechner!$E$4&lt;&gt;"ok","",IF(Rechner!$E$5+442&lt;=Rechner!$B$6,Rechner!$E$5+442,""))</f>
        <v/>
      </c>
      <c r="B444">
        <f>IF(A444="","",LOOKUP(A444,Basiszins!$A$5:$A$18,Basiszins!$B$5:$B$18))</f>
        <v/>
      </c>
      <c r="C444">
        <f>IF(A444="","",B444+Rechner!$E$7)</f>
        <v/>
      </c>
      <c r="D444">
        <f>J443</f>
        <v/>
      </c>
      <c r="E444">
        <f>IF(A444="",0,D444*C444/100/(DATE(YEAR(A444)+1,1,1)-DATE(YEAR(A444),1,1)))</f>
        <v/>
      </c>
      <c r="F444">
        <f>IF(A444="",0,SUMIF(Rechner!$A$12:$A$21,A444,Rechner!$B$12:$B$21))</f>
        <v/>
      </c>
      <c r="G444">
        <f>H443+E444</f>
        <v/>
      </c>
      <c r="H444">
        <f>G444-MIN(F444,G444)</f>
        <v/>
      </c>
      <c r="I444">
        <f>MIN(F444-MIN(F444,G444),D444)</f>
        <v/>
      </c>
      <c r="J444">
        <f>D444-I444</f>
        <v/>
      </c>
      <c r="K444">
        <f>F444-MIN(F444,G444)-I444</f>
        <v/>
      </c>
    </row>
    <row r="445">
      <c r="A445" s="21">
        <f>IF(Rechner!$E$4&lt;&gt;"ok","",IF(Rechner!$E$5+443&lt;=Rechner!$B$6,Rechner!$E$5+443,""))</f>
        <v/>
      </c>
      <c r="B445">
        <f>IF(A445="","",LOOKUP(A445,Basiszins!$A$5:$A$18,Basiszins!$B$5:$B$18))</f>
        <v/>
      </c>
      <c r="C445">
        <f>IF(A445="","",B445+Rechner!$E$7)</f>
        <v/>
      </c>
      <c r="D445">
        <f>J444</f>
        <v/>
      </c>
      <c r="E445">
        <f>IF(A445="",0,D445*C445/100/(DATE(YEAR(A445)+1,1,1)-DATE(YEAR(A445),1,1)))</f>
        <v/>
      </c>
      <c r="F445">
        <f>IF(A445="",0,SUMIF(Rechner!$A$12:$A$21,A445,Rechner!$B$12:$B$21))</f>
        <v/>
      </c>
      <c r="G445">
        <f>H444+E445</f>
        <v/>
      </c>
      <c r="H445">
        <f>G445-MIN(F445,G445)</f>
        <v/>
      </c>
      <c r="I445">
        <f>MIN(F445-MIN(F445,G445),D445)</f>
        <v/>
      </c>
      <c r="J445">
        <f>D445-I445</f>
        <v/>
      </c>
      <c r="K445">
        <f>F445-MIN(F445,G445)-I445</f>
        <v/>
      </c>
    </row>
    <row r="446">
      <c r="A446" s="21">
        <f>IF(Rechner!$E$4&lt;&gt;"ok","",IF(Rechner!$E$5+444&lt;=Rechner!$B$6,Rechner!$E$5+444,""))</f>
        <v/>
      </c>
      <c r="B446">
        <f>IF(A446="","",LOOKUP(A446,Basiszins!$A$5:$A$18,Basiszins!$B$5:$B$18))</f>
        <v/>
      </c>
      <c r="C446">
        <f>IF(A446="","",B446+Rechner!$E$7)</f>
        <v/>
      </c>
      <c r="D446">
        <f>J445</f>
        <v/>
      </c>
      <c r="E446">
        <f>IF(A446="",0,D446*C446/100/(DATE(YEAR(A446)+1,1,1)-DATE(YEAR(A446),1,1)))</f>
        <v/>
      </c>
      <c r="F446">
        <f>IF(A446="",0,SUMIF(Rechner!$A$12:$A$21,A446,Rechner!$B$12:$B$21))</f>
        <v/>
      </c>
      <c r="G446">
        <f>H445+E446</f>
        <v/>
      </c>
      <c r="H446">
        <f>G446-MIN(F446,G446)</f>
        <v/>
      </c>
      <c r="I446">
        <f>MIN(F446-MIN(F446,G446),D446)</f>
        <v/>
      </c>
      <c r="J446">
        <f>D446-I446</f>
        <v/>
      </c>
      <c r="K446">
        <f>F446-MIN(F446,G446)-I446</f>
        <v/>
      </c>
    </row>
    <row r="447">
      <c r="A447" s="21">
        <f>IF(Rechner!$E$4&lt;&gt;"ok","",IF(Rechner!$E$5+445&lt;=Rechner!$B$6,Rechner!$E$5+445,""))</f>
        <v/>
      </c>
      <c r="B447">
        <f>IF(A447="","",LOOKUP(A447,Basiszins!$A$5:$A$18,Basiszins!$B$5:$B$18))</f>
        <v/>
      </c>
      <c r="C447">
        <f>IF(A447="","",B447+Rechner!$E$7)</f>
        <v/>
      </c>
      <c r="D447">
        <f>J446</f>
        <v/>
      </c>
      <c r="E447">
        <f>IF(A447="",0,D447*C447/100/(DATE(YEAR(A447)+1,1,1)-DATE(YEAR(A447),1,1)))</f>
        <v/>
      </c>
      <c r="F447">
        <f>IF(A447="",0,SUMIF(Rechner!$A$12:$A$21,A447,Rechner!$B$12:$B$21))</f>
        <v/>
      </c>
      <c r="G447">
        <f>H446+E447</f>
        <v/>
      </c>
      <c r="H447">
        <f>G447-MIN(F447,G447)</f>
        <v/>
      </c>
      <c r="I447">
        <f>MIN(F447-MIN(F447,G447),D447)</f>
        <v/>
      </c>
      <c r="J447">
        <f>D447-I447</f>
        <v/>
      </c>
      <c r="K447">
        <f>F447-MIN(F447,G447)-I447</f>
        <v/>
      </c>
    </row>
    <row r="448">
      <c r="A448" s="21">
        <f>IF(Rechner!$E$4&lt;&gt;"ok","",IF(Rechner!$E$5+446&lt;=Rechner!$B$6,Rechner!$E$5+446,""))</f>
        <v/>
      </c>
      <c r="B448">
        <f>IF(A448="","",LOOKUP(A448,Basiszins!$A$5:$A$18,Basiszins!$B$5:$B$18))</f>
        <v/>
      </c>
      <c r="C448">
        <f>IF(A448="","",B448+Rechner!$E$7)</f>
        <v/>
      </c>
      <c r="D448">
        <f>J447</f>
        <v/>
      </c>
      <c r="E448">
        <f>IF(A448="",0,D448*C448/100/(DATE(YEAR(A448)+1,1,1)-DATE(YEAR(A448),1,1)))</f>
        <v/>
      </c>
      <c r="F448">
        <f>IF(A448="",0,SUMIF(Rechner!$A$12:$A$21,A448,Rechner!$B$12:$B$21))</f>
        <v/>
      </c>
      <c r="G448">
        <f>H447+E448</f>
        <v/>
      </c>
      <c r="H448">
        <f>G448-MIN(F448,G448)</f>
        <v/>
      </c>
      <c r="I448">
        <f>MIN(F448-MIN(F448,G448),D448)</f>
        <v/>
      </c>
      <c r="J448">
        <f>D448-I448</f>
        <v/>
      </c>
      <c r="K448">
        <f>F448-MIN(F448,G448)-I448</f>
        <v/>
      </c>
    </row>
    <row r="449">
      <c r="A449" s="21">
        <f>IF(Rechner!$E$4&lt;&gt;"ok","",IF(Rechner!$E$5+447&lt;=Rechner!$B$6,Rechner!$E$5+447,""))</f>
        <v/>
      </c>
      <c r="B449">
        <f>IF(A449="","",LOOKUP(A449,Basiszins!$A$5:$A$18,Basiszins!$B$5:$B$18))</f>
        <v/>
      </c>
      <c r="C449">
        <f>IF(A449="","",B449+Rechner!$E$7)</f>
        <v/>
      </c>
      <c r="D449">
        <f>J448</f>
        <v/>
      </c>
      <c r="E449">
        <f>IF(A449="",0,D449*C449/100/(DATE(YEAR(A449)+1,1,1)-DATE(YEAR(A449),1,1)))</f>
        <v/>
      </c>
      <c r="F449">
        <f>IF(A449="",0,SUMIF(Rechner!$A$12:$A$21,A449,Rechner!$B$12:$B$21))</f>
        <v/>
      </c>
      <c r="G449">
        <f>H448+E449</f>
        <v/>
      </c>
      <c r="H449">
        <f>G449-MIN(F449,G449)</f>
        <v/>
      </c>
      <c r="I449">
        <f>MIN(F449-MIN(F449,G449),D449)</f>
        <v/>
      </c>
      <c r="J449">
        <f>D449-I449</f>
        <v/>
      </c>
      <c r="K449">
        <f>F449-MIN(F449,G449)-I449</f>
        <v/>
      </c>
    </row>
    <row r="450">
      <c r="A450" s="21">
        <f>IF(Rechner!$E$4&lt;&gt;"ok","",IF(Rechner!$E$5+448&lt;=Rechner!$B$6,Rechner!$E$5+448,""))</f>
        <v/>
      </c>
      <c r="B450">
        <f>IF(A450="","",LOOKUP(A450,Basiszins!$A$5:$A$18,Basiszins!$B$5:$B$18))</f>
        <v/>
      </c>
      <c r="C450">
        <f>IF(A450="","",B450+Rechner!$E$7)</f>
        <v/>
      </c>
      <c r="D450">
        <f>J449</f>
        <v/>
      </c>
      <c r="E450">
        <f>IF(A450="",0,D450*C450/100/(DATE(YEAR(A450)+1,1,1)-DATE(YEAR(A450),1,1)))</f>
        <v/>
      </c>
      <c r="F450">
        <f>IF(A450="",0,SUMIF(Rechner!$A$12:$A$21,A450,Rechner!$B$12:$B$21))</f>
        <v/>
      </c>
      <c r="G450">
        <f>H449+E450</f>
        <v/>
      </c>
      <c r="H450">
        <f>G450-MIN(F450,G450)</f>
        <v/>
      </c>
      <c r="I450">
        <f>MIN(F450-MIN(F450,G450),D450)</f>
        <v/>
      </c>
      <c r="J450">
        <f>D450-I450</f>
        <v/>
      </c>
      <c r="K450">
        <f>F450-MIN(F450,G450)-I450</f>
        <v/>
      </c>
    </row>
    <row r="451">
      <c r="A451" s="21">
        <f>IF(Rechner!$E$4&lt;&gt;"ok","",IF(Rechner!$E$5+449&lt;=Rechner!$B$6,Rechner!$E$5+449,""))</f>
        <v/>
      </c>
      <c r="B451">
        <f>IF(A451="","",LOOKUP(A451,Basiszins!$A$5:$A$18,Basiszins!$B$5:$B$18))</f>
        <v/>
      </c>
      <c r="C451">
        <f>IF(A451="","",B451+Rechner!$E$7)</f>
        <v/>
      </c>
      <c r="D451">
        <f>J450</f>
        <v/>
      </c>
      <c r="E451">
        <f>IF(A451="",0,D451*C451/100/(DATE(YEAR(A451)+1,1,1)-DATE(YEAR(A451),1,1)))</f>
        <v/>
      </c>
      <c r="F451">
        <f>IF(A451="",0,SUMIF(Rechner!$A$12:$A$21,A451,Rechner!$B$12:$B$21))</f>
        <v/>
      </c>
      <c r="G451">
        <f>H450+E451</f>
        <v/>
      </c>
      <c r="H451">
        <f>G451-MIN(F451,G451)</f>
        <v/>
      </c>
      <c r="I451">
        <f>MIN(F451-MIN(F451,G451),D451)</f>
        <v/>
      </c>
      <c r="J451">
        <f>D451-I451</f>
        <v/>
      </c>
      <c r="K451">
        <f>F451-MIN(F451,G451)-I451</f>
        <v/>
      </c>
    </row>
    <row r="452">
      <c r="A452" s="21">
        <f>IF(Rechner!$E$4&lt;&gt;"ok","",IF(Rechner!$E$5+450&lt;=Rechner!$B$6,Rechner!$E$5+450,""))</f>
        <v/>
      </c>
      <c r="B452">
        <f>IF(A452="","",LOOKUP(A452,Basiszins!$A$5:$A$18,Basiszins!$B$5:$B$18))</f>
        <v/>
      </c>
      <c r="C452">
        <f>IF(A452="","",B452+Rechner!$E$7)</f>
        <v/>
      </c>
      <c r="D452">
        <f>J451</f>
        <v/>
      </c>
      <c r="E452">
        <f>IF(A452="",0,D452*C452/100/(DATE(YEAR(A452)+1,1,1)-DATE(YEAR(A452),1,1)))</f>
        <v/>
      </c>
      <c r="F452">
        <f>IF(A452="",0,SUMIF(Rechner!$A$12:$A$21,A452,Rechner!$B$12:$B$21))</f>
        <v/>
      </c>
      <c r="G452">
        <f>H451+E452</f>
        <v/>
      </c>
      <c r="H452">
        <f>G452-MIN(F452,G452)</f>
        <v/>
      </c>
      <c r="I452">
        <f>MIN(F452-MIN(F452,G452),D452)</f>
        <v/>
      </c>
      <c r="J452">
        <f>D452-I452</f>
        <v/>
      </c>
      <c r="K452">
        <f>F452-MIN(F452,G452)-I452</f>
        <v/>
      </c>
    </row>
    <row r="453">
      <c r="A453" s="21">
        <f>IF(Rechner!$E$4&lt;&gt;"ok","",IF(Rechner!$E$5+451&lt;=Rechner!$B$6,Rechner!$E$5+451,""))</f>
        <v/>
      </c>
      <c r="B453">
        <f>IF(A453="","",LOOKUP(A453,Basiszins!$A$5:$A$18,Basiszins!$B$5:$B$18))</f>
        <v/>
      </c>
      <c r="C453">
        <f>IF(A453="","",B453+Rechner!$E$7)</f>
        <v/>
      </c>
      <c r="D453">
        <f>J452</f>
        <v/>
      </c>
      <c r="E453">
        <f>IF(A453="",0,D453*C453/100/(DATE(YEAR(A453)+1,1,1)-DATE(YEAR(A453),1,1)))</f>
        <v/>
      </c>
      <c r="F453">
        <f>IF(A453="",0,SUMIF(Rechner!$A$12:$A$21,A453,Rechner!$B$12:$B$21))</f>
        <v/>
      </c>
      <c r="G453">
        <f>H452+E453</f>
        <v/>
      </c>
      <c r="H453">
        <f>G453-MIN(F453,G453)</f>
        <v/>
      </c>
      <c r="I453">
        <f>MIN(F453-MIN(F453,G453),D453)</f>
        <v/>
      </c>
      <c r="J453">
        <f>D453-I453</f>
        <v/>
      </c>
      <c r="K453">
        <f>F453-MIN(F453,G453)-I453</f>
        <v/>
      </c>
    </row>
    <row r="454">
      <c r="A454" s="21">
        <f>IF(Rechner!$E$4&lt;&gt;"ok","",IF(Rechner!$E$5+452&lt;=Rechner!$B$6,Rechner!$E$5+452,""))</f>
        <v/>
      </c>
      <c r="B454">
        <f>IF(A454="","",LOOKUP(A454,Basiszins!$A$5:$A$18,Basiszins!$B$5:$B$18))</f>
        <v/>
      </c>
      <c r="C454">
        <f>IF(A454="","",B454+Rechner!$E$7)</f>
        <v/>
      </c>
      <c r="D454">
        <f>J453</f>
        <v/>
      </c>
      <c r="E454">
        <f>IF(A454="",0,D454*C454/100/(DATE(YEAR(A454)+1,1,1)-DATE(YEAR(A454),1,1)))</f>
        <v/>
      </c>
      <c r="F454">
        <f>IF(A454="",0,SUMIF(Rechner!$A$12:$A$21,A454,Rechner!$B$12:$B$21))</f>
        <v/>
      </c>
      <c r="G454">
        <f>H453+E454</f>
        <v/>
      </c>
      <c r="H454">
        <f>G454-MIN(F454,G454)</f>
        <v/>
      </c>
      <c r="I454">
        <f>MIN(F454-MIN(F454,G454),D454)</f>
        <v/>
      </c>
      <c r="J454">
        <f>D454-I454</f>
        <v/>
      </c>
      <c r="K454">
        <f>F454-MIN(F454,G454)-I454</f>
        <v/>
      </c>
    </row>
    <row r="455">
      <c r="A455" s="21">
        <f>IF(Rechner!$E$4&lt;&gt;"ok","",IF(Rechner!$E$5+453&lt;=Rechner!$B$6,Rechner!$E$5+453,""))</f>
        <v/>
      </c>
      <c r="B455">
        <f>IF(A455="","",LOOKUP(A455,Basiszins!$A$5:$A$18,Basiszins!$B$5:$B$18))</f>
        <v/>
      </c>
      <c r="C455">
        <f>IF(A455="","",B455+Rechner!$E$7)</f>
        <v/>
      </c>
      <c r="D455">
        <f>J454</f>
        <v/>
      </c>
      <c r="E455">
        <f>IF(A455="",0,D455*C455/100/(DATE(YEAR(A455)+1,1,1)-DATE(YEAR(A455),1,1)))</f>
        <v/>
      </c>
      <c r="F455">
        <f>IF(A455="",0,SUMIF(Rechner!$A$12:$A$21,A455,Rechner!$B$12:$B$21))</f>
        <v/>
      </c>
      <c r="G455">
        <f>H454+E455</f>
        <v/>
      </c>
      <c r="H455">
        <f>G455-MIN(F455,G455)</f>
        <v/>
      </c>
      <c r="I455">
        <f>MIN(F455-MIN(F455,G455),D455)</f>
        <v/>
      </c>
      <c r="J455">
        <f>D455-I455</f>
        <v/>
      </c>
      <c r="K455">
        <f>F455-MIN(F455,G455)-I455</f>
        <v/>
      </c>
    </row>
    <row r="456">
      <c r="A456" s="21">
        <f>IF(Rechner!$E$4&lt;&gt;"ok","",IF(Rechner!$E$5+454&lt;=Rechner!$B$6,Rechner!$E$5+454,""))</f>
        <v/>
      </c>
      <c r="B456">
        <f>IF(A456="","",LOOKUP(A456,Basiszins!$A$5:$A$18,Basiszins!$B$5:$B$18))</f>
        <v/>
      </c>
      <c r="C456">
        <f>IF(A456="","",B456+Rechner!$E$7)</f>
        <v/>
      </c>
      <c r="D456">
        <f>J455</f>
        <v/>
      </c>
      <c r="E456">
        <f>IF(A456="",0,D456*C456/100/(DATE(YEAR(A456)+1,1,1)-DATE(YEAR(A456),1,1)))</f>
        <v/>
      </c>
      <c r="F456">
        <f>IF(A456="",0,SUMIF(Rechner!$A$12:$A$21,A456,Rechner!$B$12:$B$21))</f>
        <v/>
      </c>
      <c r="G456">
        <f>H455+E456</f>
        <v/>
      </c>
      <c r="H456">
        <f>G456-MIN(F456,G456)</f>
        <v/>
      </c>
      <c r="I456">
        <f>MIN(F456-MIN(F456,G456),D456)</f>
        <v/>
      </c>
      <c r="J456">
        <f>D456-I456</f>
        <v/>
      </c>
      <c r="K456">
        <f>F456-MIN(F456,G456)-I456</f>
        <v/>
      </c>
    </row>
    <row r="457">
      <c r="A457" s="21">
        <f>IF(Rechner!$E$4&lt;&gt;"ok","",IF(Rechner!$E$5+455&lt;=Rechner!$B$6,Rechner!$E$5+455,""))</f>
        <v/>
      </c>
      <c r="B457">
        <f>IF(A457="","",LOOKUP(A457,Basiszins!$A$5:$A$18,Basiszins!$B$5:$B$18))</f>
        <v/>
      </c>
      <c r="C457">
        <f>IF(A457="","",B457+Rechner!$E$7)</f>
        <v/>
      </c>
      <c r="D457">
        <f>J456</f>
        <v/>
      </c>
      <c r="E457">
        <f>IF(A457="",0,D457*C457/100/(DATE(YEAR(A457)+1,1,1)-DATE(YEAR(A457),1,1)))</f>
        <v/>
      </c>
      <c r="F457">
        <f>IF(A457="",0,SUMIF(Rechner!$A$12:$A$21,A457,Rechner!$B$12:$B$21))</f>
        <v/>
      </c>
      <c r="G457">
        <f>H456+E457</f>
        <v/>
      </c>
      <c r="H457">
        <f>G457-MIN(F457,G457)</f>
        <v/>
      </c>
      <c r="I457">
        <f>MIN(F457-MIN(F457,G457),D457)</f>
        <v/>
      </c>
      <c r="J457">
        <f>D457-I457</f>
        <v/>
      </c>
      <c r="K457">
        <f>F457-MIN(F457,G457)-I457</f>
        <v/>
      </c>
    </row>
    <row r="458">
      <c r="A458" s="21">
        <f>IF(Rechner!$E$4&lt;&gt;"ok","",IF(Rechner!$E$5+456&lt;=Rechner!$B$6,Rechner!$E$5+456,""))</f>
        <v/>
      </c>
      <c r="B458">
        <f>IF(A458="","",LOOKUP(A458,Basiszins!$A$5:$A$18,Basiszins!$B$5:$B$18))</f>
        <v/>
      </c>
      <c r="C458">
        <f>IF(A458="","",B458+Rechner!$E$7)</f>
        <v/>
      </c>
      <c r="D458">
        <f>J457</f>
        <v/>
      </c>
      <c r="E458">
        <f>IF(A458="",0,D458*C458/100/(DATE(YEAR(A458)+1,1,1)-DATE(YEAR(A458),1,1)))</f>
        <v/>
      </c>
      <c r="F458">
        <f>IF(A458="",0,SUMIF(Rechner!$A$12:$A$21,A458,Rechner!$B$12:$B$21))</f>
        <v/>
      </c>
      <c r="G458">
        <f>H457+E458</f>
        <v/>
      </c>
      <c r="H458">
        <f>G458-MIN(F458,G458)</f>
        <v/>
      </c>
      <c r="I458">
        <f>MIN(F458-MIN(F458,G458),D458)</f>
        <v/>
      </c>
      <c r="J458">
        <f>D458-I458</f>
        <v/>
      </c>
      <c r="K458">
        <f>F458-MIN(F458,G458)-I458</f>
        <v/>
      </c>
    </row>
    <row r="459">
      <c r="A459" s="21">
        <f>IF(Rechner!$E$4&lt;&gt;"ok","",IF(Rechner!$E$5+457&lt;=Rechner!$B$6,Rechner!$E$5+457,""))</f>
        <v/>
      </c>
      <c r="B459">
        <f>IF(A459="","",LOOKUP(A459,Basiszins!$A$5:$A$18,Basiszins!$B$5:$B$18))</f>
        <v/>
      </c>
      <c r="C459">
        <f>IF(A459="","",B459+Rechner!$E$7)</f>
        <v/>
      </c>
      <c r="D459">
        <f>J458</f>
        <v/>
      </c>
      <c r="E459">
        <f>IF(A459="",0,D459*C459/100/(DATE(YEAR(A459)+1,1,1)-DATE(YEAR(A459),1,1)))</f>
        <v/>
      </c>
      <c r="F459">
        <f>IF(A459="",0,SUMIF(Rechner!$A$12:$A$21,A459,Rechner!$B$12:$B$21))</f>
        <v/>
      </c>
      <c r="G459">
        <f>H458+E459</f>
        <v/>
      </c>
      <c r="H459">
        <f>G459-MIN(F459,G459)</f>
        <v/>
      </c>
      <c r="I459">
        <f>MIN(F459-MIN(F459,G459),D459)</f>
        <v/>
      </c>
      <c r="J459">
        <f>D459-I459</f>
        <v/>
      </c>
      <c r="K459">
        <f>F459-MIN(F459,G459)-I459</f>
        <v/>
      </c>
    </row>
    <row r="460">
      <c r="A460" s="21">
        <f>IF(Rechner!$E$4&lt;&gt;"ok","",IF(Rechner!$E$5+458&lt;=Rechner!$B$6,Rechner!$E$5+458,""))</f>
        <v/>
      </c>
      <c r="B460">
        <f>IF(A460="","",LOOKUP(A460,Basiszins!$A$5:$A$18,Basiszins!$B$5:$B$18))</f>
        <v/>
      </c>
      <c r="C460">
        <f>IF(A460="","",B460+Rechner!$E$7)</f>
        <v/>
      </c>
      <c r="D460">
        <f>J459</f>
        <v/>
      </c>
      <c r="E460">
        <f>IF(A460="",0,D460*C460/100/(DATE(YEAR(A460)+1,1,1)-DATE(YEAR(A460),1,1)))</f>
        <v/>
      </c>
      <c r="F460">
        <f>IF(A460="",0,SUMIF(Rechner!$A$12:$A$21,A460,Rechner!$B$12:$B$21))</f>
        <v/>
      </c>
      <c r="G460">
        <f>H459+E460</f>
        <v/>
      </c>
      <c r="H460">
        <f>G460-MIN(F460,G460)</f>
        <v/>
      </c>
      <c r="I460">
        <f>MIN(F460-MIN(F460,G460),D460)</f>
        <v/>
      </c>
      <c r="J460">
        <f>D460-I460</f>
        <v/>
      </c>
      <c r="K460">
        <f>F460-MIN(F460,G460)-I460</f>
        <v/>
      </c>
    </row>
    <row r="461">
      <c r="A461" s="21">
        <f>IF(Rechner!$E$4&lt;&gt;"ok","",IF(Rechner!$E$5+459&lt;=Rechner!$B$6,Rechner!$E$5+459,""))</f>
        <v/>
      </c>
      <c r="B461">
        <f>IF(A461="","",LOOKUP(A461,Basiszins!$A$5:$A$18,Basiszins!$B$5:$B$18))</f>
        <v/>
      </c>
      <c r="C461">
        <f>IF(A461="","",B461+Rechner!$E$7)</f>
        <v/>
      </c>
      <c r="D461">
        <f>J460</f>
        <v/>
      </c>
      <c r="E461">
        <f>IF(A461="",0,D461*C461/100/(DATE(YEAR(A461)+1,1,1)-DATE(YEAR(A461),1,1)))</f>
        <v/>
      </c>
      <c r="F461">
        <f>IF(A461="",0,SUMIF(Rechner!$A$12:$A$21,A461,Rechner!$B$12:$B$21))</f>
        <v/>
      </c>
      <c r="G461">
        <f>H460+E461</f>
        <v/>
      </c>
      <c r="H461">
        <f>G461-MIN(F461,G461)</f>
        <v/>
      </c>
      <c r="I461">
        <f>MIN(F461-MIN(F461,G461),D461)</f>
        <v/>
      </c>
      <c r="J461">
        <f>D461-I461</f>
        <v/>
      </c>
      <c r="K461">
        <f>F461-MIN(F461,G461)-I461</f>
        <v/>
      </c>
    </row>
    <row r="462">
      <c r="A462" s="21">
        <f>IF(Rechner!$E$4&lt;&gt;"ok","",IF(Rechner!$E$5+460&lt;=Rechner!$B$6,Rechner!$E$5+460,""))</f>
        <v/>
      </c>
      <c r="B462">
        <f>IF(A462="","",LOOKUP(A462,Basiszins!$A$5:$A$18,Basiszins!$B$5:$B$18))</f>
        <v/>
      </c>
      <c r="C462">
        <f>IF(A462="","",B462+Rechner!$E$7)</f>
        <v/>
      </c>
      <c r="D462">
        <f>J461</f>
        <v/>
      </c>
      <c r="E462">
        <f>IF(A462="",0,D462*C462/100/(DATE(YEAR(A462)+1,1,1)-DATE(YEAR(A462),1,1)))</f>
        <v/>
      </c>
      <c r="F462">
        <f>IF(A462="",0,SUMIF(Rechner!$A$12:$A$21,A462,Rechner!$B$12:$B$21))</f>
        <v/>
      </c>
      <c r="G462">
        <f>H461+E462</f>
        <v/>
      </c>
      <c r="H462">
        <f>G462-MIN(F462,G462)</f>
        <v/>
      </c>
      <c r="I462">
        <f>MIN(F462-MIN(F462,G462),D462)</f>
        <v/>
      </c>
      <c r="J462">
        <f>D462-I462</f>
        <v/>
      </c>
      <c r="K462">
        <f>F462-MIN(F462,G462)-I462</f>
        <v/>
      </c>
    </row>
    <row r="463">
      <c r="A463" s="21">
        <f>IF(Rechner!$E$4&lt;&gt;"ok","",IF(Rechner!$E$5+461&lt;=Rechner!$B$6,Rechner!$E$5+461,""))</f>
        <v/>
      </c>
      <c r="B463">
        <f>IF(A463="","",LOOKUP(A463,Basiszins!$A$5:$A$18,Basiszins!$B$5:$B$18))</f>
        <v/>
      </c>
      <c r="C463">
        <f>IF(A463="","",B463+Rechner!$E$7)</f>
        <v/>
      </c>
      <c r="D463">
        <f>J462</f>
        <v/>
      </c>
      <c r="E463">
        <f>IF(A463="",0,D463*C463/100/(DATE(YEAR(A463)+1,1,1)-DATE(YEAR(A463),1,1)))</f>
        <v/>
      </c>
      <c r="F463">
        <f>IF(A463="",0,SUMIF(Rechner!$A$12:$A$21,A463,Rechner!$B$12:$B$21))</f>
        <v/>
      </c>
      <c r="G463">
        <f>H462+E463</f>
        <v/>
      </c>
      <c r="H463">
        <f>G463-MIN(F463,G463)</f>
        <v/>
      </c>
      <c r="I463">
        <f>MIN(F463-MIN(F463,G463),D463)</f>
        <v/>
      </c>
      <c r="J463">
        <f>D463-I463</f>
        <v/>
      </c>
      <c r="K463">
        <f>F463-MIN(F463,G463)-I463</f>
        <v/>
      </c>
    </row>
    <row r="464">
      <c r="A464" s="21">
        <f>IF(Rechner!$E$4&lt;&gt;"ok","",IF(Rechner!$E$5+462&lt;=Rechner!$B$6,Rechner!$E$5+462,""))</f>
        <v/>
      </c>
      <c r="B464">
        <f>IF(A464="","",LOOKUP(A464,Basiszins!$A$5:$A$18,Basiszins!$B$5:$B$18))</f>
        <v/>
      </c>
      <c r="C464">
        <f>IF(A464="","",B464+Rechner!$E$7)</f>
        <v/>
      </c>
      <c r="D464">
        <f>J463</f>
        <v/>
      </c>
      <c r="E464">
        <f>IF(A464="",0,D464*C464/100/(DATE(YEAR(A464)+1,1,1)-DATE(YEAR(A464),1,1)))</f>
        <v/>
      </c>
      <c r="F464">
        <f>IF(A464="",0,SUMIF(Rechner!$A$12:$A$21,A464,Rechner!$B$12:$B$21))</f>
        <v/>
      </c>
      <c r="G464">
        <f>H463+E464</f>
        <v/>
      </c>
      <c r="H464">
        <f>G464-MIN(F464,G464)</f>
        <v/>
      </c>
      <c r="I464">
        <f>MIN(F464-MIN(F464,G464),D464)</f>
        <v/>
      </c>
      <c r="J464">
        <f>D464-I464</f>
        <v/>
      </c>
      <c r="K464">
        <f>F464-MIN(F464,G464)-I464</f>
        <v/>
      </c>
    </row>
    <row r="465">
      <c r="A465" s="21">
        <f>IF(Rechner!$E$4&lt;&gt;"ok","",IF(Rechner!$E$5+463&lt;=Rechner!$B$6,Rechner!$E$5+463,""))</f>
        <v/>
      </c>
      <c r="B465">
        <f>IF(A465="","",LOOKUP(A465,Basiszins!$A$5:$A$18,Basiszins!$B$5:$B$18))</f>
        <v/>
      </c>
      <c r="C465">
        <f>IF(A465="","",B465+Rechner!$E$7)</f>
        <v/>
      </c>
      <c r="D465">
        <f>J464</f>
        <v/>
      </c>
      <c r="E465">
        <f>IF(A465="",0,D465*C465/100/(DATE(YEAR(A465)+1,1,1)-DATE(YEAR(A465),1,1)))</f>
        <v/>
      </c>
      <c r="F465">
        <f>IF(A465="",0,SUMIF(Rechner!$A$12:$A$21,A465,Rechner!$B$12:$B$21))</f>
        <v/>
      </c>
      <c r="G465">
        <f>H464+E465</f>
        <v/>
      </c>
      <c r="H465">
        <f>G465-MIN(F465,G465)</f>
        <v/>
      </c>
      <c r="I465">
        <f>MIN(F465-MIN(F465,G465),D465)</f>
        <v/>
      </c>
      <c r="J465">
        <f>D465-I465</f>
        <v/>
      </c>
      <c r="K465">
        <f>F465-MIN(F465,G465)-I465</f>
        <v/>
      </c>
    </row>
    <row r="466">
      <c r="A466" s="21">
        <f>IF(Rechner!$E$4&lt;&gt;"ok","",IF(Rechner!$E$5+464&lt;=Rechner!$B$6,Rechner!$E$5+464,""))</f>
        <v/>
      </c>
      <c r="B466">
        <f>IF(A466="","",LOOKUP(A466,Basiszins!$A$5:$A$18,Basiszins!$B$5:$B$18))</f>
        <v/>
      </c>
      <c r="C466">
        <f>IF(A466="","",B466+Rechner!$E$7)</f>
        <v/>
      </c>
      <c r="D466">
        <f>J465</f>
        <v/>
      </c>
      <c r="E466">
        <f>IF(A466="",0,D466*C466/100/(DATE(YEAR(A466)+1,1,1)-DATE(YEAR(A466),1,1)))</f>
        <v/>
      </c>
      <c r="F466">
        <f>IF(A466="",0,SUMIF(Rechner!$A$12:$A$21,A466,Rechner!$B$12:$B$21))</f>
        <v/>
      </c>
      <c r="G466">
        <f>H465+E466</f>
        <v/>
      </c>
      <c r="H466">
        <f>G466-MIN(F466,G466)</f>
        <v/>
      </c>
      <c r="I466">
        <f>MIN(F466-MIN(F466,G466),D466)</f>
        <v/>
      </c>
      <c r="J466">
        <f>D466-I466</f>
        <v/>
      </c>
      <c r="K466">
        <f>F466-MIN(F466,G466)-I466</f>
        <v/>
      </c>
    </row>
    <row r="467">
      <c r="A467" s="21">
        <f>IF(Rechner!$E$4&lt;&gt;"ok","",IF(Rechner!$E$5+465&lt;=Rechner!$B$6,Rechner!$E$5+465,""))</f>
        <v/>
      </c>
      <c r="B467">
        <f>IF(A467="","",LOOKUP(A467,Basiszins!$A$5:$A$18,Basiszins!$B$5:$B$18))</f>
        <v/>
      </c>
      <c r="C467">
        <f>IF(A467="","",B467+Rechner!$E$7)</f>
        <v/>
      </c>
      <c r="D467">
        <f>J466</f>
        <v/>
      </c>
      <c r="E467">
        <f>IF(A467="",0,D467*C467/100/(DATE(YEAR(A467)+1,1,1)-DATE(YEAR(A467),1,1)))</f>
        <v/>
      </c>
      <c r="F467">
        <f>IF(A467="",0,SUMIF(Rechner!$A$12:$A$21,A467,Rechner!$B$12:$B$21))</f>
        <v/>
      </c>
      <c r="G467">
        <f>H466+E467</f>
        <v/>
      </c>
      <c r="H467">
        <f>G467-MIN(F467,G467)</f>
        <v/>
      </c>
      <c r="I467">
        <f>MIN(F467-MIN(F467,G467),D467)</f>
        <v/>
      </c>
      <c r="J467">
        <f>D467-I467</f>
        <v/>
      </c>
      <c r="K467">
        <f>F467-MIN(F467,G467)-I467</f>
        <v/>
      </c>
    </row>
    <row r="468">
      <c r="A468" s="21">
        <f>IF(Rechner!$E$4&lt;&gt;"ok","",IF(Rechner!$E$5+466&lt;=Rechner!$B$6,Rechner!$E$5+466,""))</f>
        <v/>
      </c>
      <c r="B468">
        <f>IF(A468="","",LOOKUP(A468,Basiszins!$A$5:$A$18,Basiszins!$B$5:$B$18))</f>
        <v/>
      </c>
      <c r="C468">
        <f>IF(A468="","",B468+Rechner!$E$7)</f>
        <v/>
      </c>
      <c r="D468">
        <f>J467</f>
        <v/>
      </c>
      <c r="E468">
        <f>IF(A468="",0,D468*C468/100/(DATE(YEAR(A468)+1,1,1)-DATE(YEAR(A468),1,1)))</f>
        <v/>
      </c>
      <c r="F468">
        <f>IF(A468="",0,SUMIF(Rechner!$A$12:$A$21,A468,Rechner!$B$12:$B$21))</f>
        <v/>
      </c>
      <c r="G468">
        <f>H467+E468</f>
        <v/>
      </c>
      <c r="H468">
        <f>G468-MIN(F468,G468)</f>
        <v/>
      </c>
      <c r="I468">
        <f>MIN(F468-MIN(F468,G468),D468)</f>
        <v/>
      </c>
      <c r="J468">
        <f>D468-I468</f>
        <v/>
      </c>
      <c r="K468">
        <f>F468-MIN(F468,G468)-I468</f>
        <v/>
      </c>
    </row>
    <row r="469">
      <c r="A469" s="21">
        <f>IF(Rechner!$E$4&lt;&gt;"ok","",IF(Rechner!$E$5+467&lt;=Rechner!$B$6,Rechner!$E$5+467,""))</f>
        <v/>
      </c>
      <c r="B469">
        <f>IF(A469="","",LOOKUP(A469,Basiszins!$A$5:$A$18,Basiszins!$B$5:$B$18))</f>
        <v/>
      </c>
      <c r="C469">
        <f>IF(A469="","",B469+Rechner!$E$7)</f>
        <v/>
      </c>
      <c r="D469">
        <f>J468</f>
        <v/>
      </c>
      <c r="E469">
        <f>IF(A469="",0,D469*C469/100/(DATE(YEAR(A469)+1,1,1)-DATE(YEAR(A469),1,1)))</f>
        <v/>
      </c>
      <c r="F469">
        <f>IF(A469="",0,SUMIF(Rechner!$A$12:$A$21,A469,Rechner!$B$12:$B$21))</f>
        <v/>
      </c>
      <c r="G469">
        <f>H468+E469</f>
        <v/>
      </c>
      <c r="H469">
        <f>G469-MIN(F469,G469)</f>
        <v/>
      </c>
      <c r="I469">
        <f>MIN(F469-MIN(F469,G469),D469)</f>
        <v/>
      </c>
      <c r="J469">
        <f>D469-I469</f>
        <v/>
      </c>
      <c r="K469">
        <f>F469-MIN(F469,G469)-I469</f>
        <v/>
      </c>
    </row>
    <row r="470">
      <c r="A470" s="21">
        <f>IF(Rechner!$E$4&lt;&gt;"ok","",IF(Rechner!$E$5+468&lt;=Rechner!$B$6,Rechner!$E$5+468,""))</f>
        <v/>
      </c>
      <c r="B470">
        <f>IF(A470="","",LOOKUP(A470,Basiszins!$A$5:$A$18,Basiszins!$B$5:$B$18))</f>
        <v/>
      </c>
      <c r="C470">
        <f>IF(A470="","",B470+Rechner!$E$7)</f>
        <v/>
      </c>
      <c r="D470">
        <f>J469</f>
        <v/>
      </c>
      <c r="E470">
        <f>IF(A470="",0,D470*C470/100/(DATE(YEAR(A470)+1,1,1)-DATE(YEAR(A470),1,1)))</f>
        <v/>
      </c>
      <c r="F470">
        <f>IF(A470="",0,SUMIF(Rechner!$A$12:$A$21,A470,Rechner!$B$12:$B$21))</f>
        <v/>
      </c>
      <c r="G470">
        <f>H469+E470</f>
        <v/>
      </c>
      <c r="H470">
        <f>G470-MIN(F470,G470)</f>
        <v/>
      </c>
      <c r="I470">
        <f>MIN(F470-MIN(F470,G470),D470)</f>
        <v/>
      </c>
      <c r="J470">
        <f>D470-I470</f>
        <v/>
      </c>
      <c r="K470">
        <f>F470-MIN(F470,G470)-I470</f>
        <v/>
      </c>
    </row>
    <row r="471">
      <c r="A471" s="21">
        <f>IF(Rechner!$E$4&lt;&gt;"ok","",IF(Rechner!$E$5+469&lt;=Rechner!$B$6,Rechner!$E$5+469,""))</f>
        <v/>
      </c>
      <c r="B471">
        <f>IF(A471="","",LOOKUP(A471,Basiszins!$A$5:$A$18,Basiszins!$B$5:$B$18))</f>
        <v/>
      </c>
      <c r="C471">
        <f>IF(A471="","",B471+Rechner!$E$7)</f>
        <v/>
      </c>
      <c r="D471">
        <f>J470</f>
        <v/>
      </c>
      <c r="E471">
        <f>IF(A471="",0,D471*C471/100/(DATE(YEAR(A471)+1,1,1)-DATE(YEAR(A471),1,1)))</f>
        <v/>
      </c>
      <c r="F471">
        <f>IF(A471="",0,SUMIF(Rechner!$A$12:$A$21,A471,Rechner!$B$12:$B$21))</f>
        <v/>
      </c>
      <c r="G471">
        <f>H470+E471</f>
        <v/>
      </c>
      <c r="H471">
        <f>G471-MIN(F471,G471)</f>
        <v/>
      </c>
      <c r="I471">
        <f>MIN(F471-MIN(F471,G471),D471)</f>
        <v/>
      </c>
      <c r="J471">
        <f>D471-I471</f>
        <v/>
      </c>
      <c r="K471">
        <f>F471-MIN(F471,G471)-I471</f>
        <v/>
      </c>
    </row>
    <row r="472">
      <c r="A472" s="21">
        <f>IF(Rechner!$E$4&lt;&gt;"ok","",IF(Rechner!$E$5+470&lt;=Rechner!$B$6,Rechner!$E$5+470,""))</f>
        <v/>
      </c>
      <c r="B472">
        <f>IF(A472="","",LOOKUP(A472,Basiszins!$A$5:$A$18,Basiszins!$B$5:$B$18))</f>
        <v/>
      </c>
      <c r="C472">
        <f>IF(A472="","",B472+Rechner!$E$7)</f>
        <v/>
      </c>
      <c r="D472">
        <f>J471</f>
        <v/>
      </c>
      <c r="E472">
        <f>IF(A472="",0,D472*C472/100/(DATE(YEAR(A472)+1,1,1)-DATE(YEAR(A472),1,1)))</f>
        <v/>
      </c>
      <c r="F472">
        <f>IF(A472="",0,SUMIF(Rechner!$A$12:$A$21,A472,Rechner!$B$12:$B$21))</f>
        <v/>
      </c>
      <c r="G472">
        <f>H471+E472</f>
        <v/>
      </c>
      <c r="H472">
        <f>G472-MIN(F472,G472)</f>
        <v/>
      </c>
      <c r="I472">
        <f>MIN(F472-MIN(F472,G472),D472)</f>
        <v/>
      </c>
      <c r="J472">
        <f>D472-I472</f>
        <v/>
      </c>
      <c r="K472">
        <f>F472-MIN(F472,G472)-I472</f>
        <v/>
      </c>
    </row>
    <row r="473">
      <c r="A473" s="21">
        <f>IF(Rechner!$E$4&lt;&gt;"ok","",IF(Rechner!$E$5+471&lt;=Rechner!$B$6,Rechner!$E$5+471,""))</f>
        <v/>
      </c>
      <c r="B473">
        <f>IF(A473="","",LOOKUP(A473,Basiszins!$A$5:$A$18,Basiszins!$B$5:$B$18))</f>
        <v/>
      </c>
      <c r="C473">
        <f>IF(A473="","",B473+Rechner!$E$7)</f>
        <v/>
      </c>
      <c r="D473">
        <f>J472</f>
        <v/>
      </c>
      <c r="E473">
        <f>IF(A473="",0,D473*C473/100/(DATE(YEAR(A473)+1,1,1)-DATE(YEAR(A473),1,1)))</f>
        <v/>
      </c>
      <c r="F473">
        <f>IF(A473="",0,SUMIF(Rechner!$A$12:$A$21,A473,Rechner!$B$12:$B$21))</f>
        <v/>
      </c>
      <c r="G473">
        <f>H472+E473</f>
        <v/>
      </c>
      <c r="H473">
        <f>G473-MIN(F473,G473)</f>
        <v/>
      </c>
      <c r="I473">
        <f>MIN(F473-MIN(F473,G473),D473)</f>
        <v/>
      </c>
      <c r="J473">
        <f>D473-I473</f>
        <v/>
      </c>
      <c r="K473">
        <f>F473-MIN(F473,G473)-I473</f>
        <v/>
      </c>
    </row>
    <row r="474">
      <c r="A474" s="21">
        <f>IF(Rechner!$E$4&lt;&gt;"ok","",IF(Rechner!$E$5+472&lt;=Rechner!$B$6,Rechner!$E$5+472,""))</f>
        <v/>
      </c>
      <c r="B474">
        <f>IF(A474="","",LOOKUP(A474,Basiszins!$A$5:$A$18,Basiszins!$B$5:$B$18))</f>
        <v/>
      </c>
      <c r="C474">
        <f>IF(A474="","",B474+Rechner!$E$7)</f>
        <v/>
      </c>
      <c r="D474">
        <f>J473</f>
        <v/>
      </c>
      <c r="E474">
        <f>IF(A474="",0,D474*C474/100/(DATE(YEAR(A474)+1,1,1)-DATE(YEAR(A474),1,1)))</f>
        <v/>
      </c>
      <c r="F474">
        <f>IF(A474="",0,SUMIF(Rechner!$A$12:$A$21,A474,Rechner!$B$12:$B$21))</f>
        <v/>
      </c>
      <c r="G474">
        <f>H473+E474</f>
        <v/>
      </c>
      <c r="H474">
        <f>G474-MIN(F474,G474)</f>
        <v/>
      </c>
      <c r="I474">
        <f>MIN(F474-MIN(F474,G474),D474)</f>
        <v/>
      </c>
      <c r="J474">
        <f>D474-I474</f>
        <v/>
      </c>
      <c r="K474">
        <f>F474-MIN(F474,G474)-I474</f>
        <v/>
      </c>
    </row>
    <row r="475">
      <c r="A475" s="21">
        <f>IF(Rechner!$E$4&lt;&gt;"ok","",IF(Rechner!$E$5+473&lt;=Rechner!$B$6,Rechner!$E$5+473,""))</f>
        <v/>
      </c>
      <c r="B475">
        <f>IF(A475="","",LOOKUP(A475,Basiszins!$A$5:$A$18,Basiszins!$B$5:$B$18))</f>
        <v/>
      </c>
      <c r="C475">
        <f>IF(A475="","",B475+Rechner!$E$7)</f>
        <v/>
      </c>
      <c r="D475">
        <f>J474</f>
        <v/>
      </c>
      <c r="E475">
        <f>IF(A475="",0,D475*C475/100/(DATE(YEAR(A475)+1,1,1)-DATE(YEAR(A475),1,1)))</f>
        <v/>
      </c>
      <c r="F475">
        <f>IF(A475="",0,SUMIF(Rechner!$A$12:$A$21,A475,Rechner!$B$12:$B$21))</f>
        <v/>
      </c>
      <c r="G475">
        <f>H474+E475</f>
        <v/>
      </c>
      <c r="H475">
        <f>G475-MIN(F475,G475)</f>
        <v/>
      </c>
      <c r="I475">
        <f>MIN(F475-MIN(F475,G475),D475)</f>
        <v/>
      </c>
      <c r="J475">
        <f>D475-I475</f>
        <v/>
      </c>
      <c r="K475">
        <f>F475-MIN(F475,G475)-I475</f>
        <v/>
      </c>
    </row>
    <row r="476">
      <c r="A476" s="21">
        <f>IF(Rechner!$E$4&lt;&gt;"ok","",IF(Rechner!$E$5+474&lt;=Rechner!$B$6,Rechner!$E$5+474,""))</f>
        <v/>
      </c>
      <c r="B476">
        <f>IF(A476="","",LOOKUP(A476,Basiszins!$A$5:$A$18,Basiszins!$B$5:$B$18))</f>
        <v/>
      </c>
      <c r="C476">
        <f>IF(A476="","",B476+Rechner!$E$7)</f>
        <v/>
      </c>
      <c r="D476">
        <f>J475</f>
        <v/>
      </c>
      <c r="E476">
        <f>IF(A476="",0,D476*C476/100/(DATE(YEAR(A476)+1,1,1)-DATE(YEAR(A476),1,1)))</f>
        <v/>
      </c>
      <c r="F476">
        <f>IF(A476="",0,SUMIF(Rechner!$A$12:$A$21,A476,Rechner!$B$12:$B$21))</f>
        <v/>
      </c>
      <c r="G476">
        <f>H475+E476</f>
        <v/>
      </c>
      <c r="H476">
        <f>G476-MIN(F476,G476)</f>
        <v/>
      </c>
      <c r="I476">
        <f>MIN(F476-MIN(F476,G476),D476)</f>
        <v/>
      </c>
      <c r="J476">
        <f>D476-I476</f>
        <v/>
      </c>
      <c r="K476">
        <f>F476-MIN(F476,G476)-I476</f>
        <v/>
      </c>
    </row>
    <row r="477">
      <c r="A477" s="21">
        <f>IF(Rechner!$E$4&lt;&gt;"ok","",IF(Rechner!$E$5+475&lt;=Rechner!$B$6,Rechner!$E$5+475,""))</f>
        <v/>
      </c>
      <c r="B477">
        <f>IF(A477="","",LOOKUP(A477,Basiszins!$A$5:$A$18,Basiszins!$B$5:$B$18))</f>
        <v/>
      </c>
      <c r="C477">
        <f>IF(A477="","",B477+Rechner!$E$7)</f>
        <v/>
      </c>
      <c r="D477">
        <f>J476</f>
        <v/>
      </c>
      <c r="E477">
        <f>IF(A477="",0,D477*C477/100/(DATE(YEAR(A477)+1,1,1)-DATE(YEAR(A477),1,1)))</f>
        <v/>
      </c>
      <c r="F477">
        <f>IF(A477="",0,SUMIF(Rechner!$A$12:$A$21,A477,Rechner!$B$12:$B$21))</f>
        <v/>
      </c>
      <c r="G477">
        <f>H476+E477</f>
        <v/>
      </c>
      <c r="H477">
        <f>G477-MIN(F477,G477)</f>
        <v/>
      </c>
      <c r="I477">
        <f>MIN(F477-MIN(F477,G477),D477)</f>
        <v/>
      </c>
      <c r="J477">
        <f>D477-I477</f>
        <v/>
      </c>
      <c r="K477">
        <f>F477-MIN(F477,G477)-I477</f>
        <v/>
      </c>
    </row>
    <row r="478">
      <c r="A478" s="21">
        <f>IF(Rechner!$E$4&lt;&gt;"ok","",IF(Rechner!$E$5+476&lt;=Rechner!$B$6,Rechner!$E$5+476,""))</f>
        <v/>
      </c>
      <c r="B478">
        <f>IF(A478="","",LOOKUP(A478,Basiszins!$A$5:$A$18,Basiszins!$B$5:$B$18))</f>
        <v/>
      </c>
      <c r="C478">
        <f>IF(A478="","",B478+Rechner!$E$7)</f>
        <v/>
      </c>
      <c r="D478">
        <f>J477</f>
        <v/>
      </c>
      <c r="E478">
        <f>IF(A478="",0,D478*C478/100/(DATE(YEAR(A478)+1,1,1)-DATE(YEAR(A478),1,1)))</f>
        <v/>
      </c>
      <c r="F478">
        <f>IF(A478="",0,SUMIF(Rechner!$A$12:$A$21,A478,Rechner!$B$12:$B$21))</f>
        <v/>
      </c>
      <c r="G478">
        <f>H477+E478</f>
        <v/>
      </c>
      <c r="H478">
        <f>G478-MIN(F478,G478)</f>
        <v/>
      </c>
      <c r="I478">
        <f>MIN(F478-MIN(F478,G478),D478)</f>
        <v/>
      </c>
      <c r="J478">
        <f>D478-I478</f>
        <v/>
      </c>
      <c r="K478">
        <f>F478-MIN(F478,G478)-I478</f>
        <v/>
      </c>
    </row>
    <row r="479">
      <c r="A479" s="21">
        <f>IF(Rechner!$E$4&lt;&gt;"ok","",IF(Rechner!$E$5+477&lt;=Rechner!$B$6,Rechner!$E$5+477,""))</f>
        <v/>
      </c>
      <c r="B479">
        <f>IF(A479="","",LOOKUP(A479,Basiszins!$A$5:$A$18,Basiszins!$B$5:$B$18))</f>
        <v/>
      </c>
      <c r="C479">
        <f>IF(A479="","",B479+Rechner!$E$7)</f>
        <v/>
      </c>
      <c r="D479">
        <f>J478</f>
        <v/>
      </c>
      <c r="E479">
        <f>IF(A479="",0,D479*C479/100/(DATE(YEAR(A479)+1,1,1)-DATE(YEAR(A479),1,1)))</f>
        <v/>
      </c>
      <c r="F479">
        <f>IF(A479="",0,SUMIF(Rechner!$A$12:$A$21,A479,Rechner!$B$12:$B$21))</f>
        <v/>
      </c>
      <c r="G479">
        <f>H478+E479</f>
        <v/>
      </c>
      <c r="H479">
        <f>G479-MIN(F479,G479)</f>
        <v/>
      </c>
      <c r="I479">
        <f>MIN(F479-MIN(F479,G479),D479)</f>
        <v/>
      </c>
      <c r="J479">
        <f>D479-I479</f>
        <v/>
      </c>
      <c r="K479">
        <f>F479-MIN(F479,G479)-I479</f>
        <v/>
      </c>
    </row>
    <row r="480">
      <c r="A480" s="21">
        <f>IF(Rechner!$E$4&lt;&gt;"ok","",IF(Rechner!$E$5+478&lt;=Rechner!$B$6,Rechner!$E$5+478,""))</f>
        <v/>
      </c>
      <c r="B480">
        <f>IF(A480="","",LOOKUP(A480,Basiszins!$A$5:$A$18,Basiszins!$B$5:$B$18))</f>
        <v/>
      </c>
      <c r="C480">
        <f>IF(A480="","",B480+Rechner!$E$7)</f>
        <v/>
      </c>
      <c r="D480">
        <f>J479</f>
        <v/>
      </c>
      <c r="E480">
        <f>IF(A480="",0,D480*C480/100/(DATE(YEAR(A480)+1,1,1)-DATE(YEAR(A480),1,1)))</f>
        <v/>
      </c>
      <c r="F480">
        <f>IF(A480="",0,SUMIF(Rechner!$A$12:$A$21,A480,Rechner!$B$12:$B$21))</f>
        <v/>
      </c>
      <c r="G480">
        <f>H479+E480</f>
        <v/>
      </c>
      <c r="H480">
        <f>G480-MIN(F480,G480)</f>
        <v/>
      </c>
      <c r="I480">
        <f>MIN(F480-MIN(F480,G480),D480)</f>
        <v/>
      </c>
      <c r="J480">
        <f>D480-I480</f>
        <v/>
      </c>
      <c r="K480">
        <f>F480-MIN(F480,G480)-I480</f>
        <v/>
      </c>
    </row>
    <row r="481">
      <c r="A481" s="21">
        <f>IF(Rechner!$E$4&lt;&gt;"ok","",IF(Rechner!$E$5+479&lt;=Rechner!$B$6,Rechner!$E$5+479,""))</f>
        <v/>
      </c>
      <c r="B481">
        <f>IF(A481="","",LOOKUP(A481,Basiszins!$A$5:$A$18,Basiszins!$B$5:$B$18))</f>
        <v/>
      </c>
      <c r="C481">
        <f>IF(A481="","",B481+Rechner!$E$7)</f>
        <v/>
      </c>
      <c r="D481">
        <f>J480</f>
        <v/>
      </c>
      <c r="E481">
        <f>IF(A481="",0,D481*C481/100/(DATE(YEAR(A481)+1,1,1)-DATE(YEAR(A481),1,1)))</f>
        <v/>
      </c>
      <c r="F481">
        <f>IF(A481="",0,SUMIF(Rechner!$A$12:$A$21,A481,Rechner!$B$12:$B$21))</f>
        <v/>
      </c>
      <c r="G481">
        <f>H480+E481</f>
        <v/>
      </c>
      <c r="H481">
        <f>G481-MIN(F481,G481)</f>
        <v/>
      </c>
      <c r="I481">
        <f>MIN(F481-MIN(F481,G481),D481)</f>
        <v/>
      </c>
      <c r="J481">
        <f>D481-I481</f>
        <v/>
      </c>
      <c r="K481">
        <f>F481-MIN(F481,G481)-I481</f>
        <v/>
      </c>
    </row>
    <row r="482">
      <c r="A482" s="21">
        <f>IF(Rechner!$E$4&lt;&gt;"ok","",IF(Rechner!$E$5+480&lt;=Rechner!$B$6,Rechner!$E$5+480,""))</f>
        <v/>
      </c>
      <c r="B482">
        <f>IF(A482="","",LOOKUP(A482,Basiszins!$A$5:$A$18,Basiszins!$B$5:$B$18))</f>
        <v/>
      </c>
      <c r="C482">
        <f>IF(A482="","",B482+Rechner!$E$7)</f>
        <v/>
      </c>
      <c r="D482">
        <f>J481</f>
        <v/>
      </c>
      <c r="E482">
        <f>IF(A482="",0,D482*C482/100/(DATE(YEAR(A482)+1,1,1)-DATE(YEAR(A482),1,1)))</f>
        <v/>
      </c>
      <c r="F482">
        <f>IF(A482="",0,SUMIF(Rechner!$A$12:$A$21,A482,Rechner!$B$12:$B$21))</f>
        <v/>
      </c>
      <c r="G482">
        <f>H481+E482</f>
        <v/>
      </c>
      <c r="H482">
        <f>G482-MIN(F482,G482)</f>
        <v/>
      </c>
      <c r="I482">
        <f>MIN(F482-MIN(F482,G482),D482)</f>
        <v/>
      </c>
      <c r="J482">
        <f>D482-I482</f>
        <v/>
      </c>
      <c r="K482">
        <f>F482-MIN(F482,G482)-I482</f>
        <v/>
      </c>
    </row>
    <row r="483">
      <c r="A483" s="21">
        <f>IF(Rechner!$E$4&lt;&gt;"ok","",IF(Rechner!$E$5+481&lt;=Rechner!$B$6,Rechner!$E$5+481,""))</f>
        <v/>
      </c>
      <c r="B483">
        <f>IF(A483="","",LOOKUP(A483,Basiszins!$A$5:$A$18,Basiszins!$B$5:$B$18))</f>
        <v/>
      </c>
      <c r="C483">
        <f>IF(A483="","",B483+Rechner!$E$7)</f>
        <v/>
      </c>
      <c r="D483">
        <f>J482</f>
        <v/>
      </c>
      <c r="E483">
        <f>IF(A483="",0,D483*C483/100/(DATE(YEAR(A483)+1,1,1)-DATE(YEAR(A483),1,1)))</f>
        <v/>
      </c>
      <c r="F483">
        <f>IF(A483="",0,SUMIF(Rechner!$A$12:$A$21,A483,Rechner!$B$12:$B$21))</f>
        <v/>
      </c>
      <c r="G483">
        <f>H482+E483</f>
        <v/>
      </c>
      <c r="H483">
        <f>G483-MIN(F483,G483)</f>
        <v/>
      </c>
      <c r="I483">
        <f>MIN(F483-MIN(F483,G483),D483)</f>
        <v/>
      </c>
      <c r="J483">
        <f>D483-I483</f>
        <v/>
      </c>
      <c r="K483">
        <f>F483-MIN(F483,G483)-I483</f>
        <v/>
      </c>
    </row>
    <row r="484">
      <c r="A484" s="21">
        <f>IF(Rechner!$E$4&lt;&gt;"ok","",IF(Rechner!$E$5+482&lt;=Rechner!$B$6,Rechner!$E$5+482,""))</f>
        <v/>
      </c>
      <c r="B484">
        <f>IF(A484="","",LOOKUP(A484,Basiszins!$A$5:$A$18,Basiszins!$B$5:$B$18))</f>
        <v/>
      </c>
      <c r="C484">
        <f>IF(A484="","",B484+Rechner!$E$7)</f>
        <v/>
      </c>
      <c r="D484">
        <f>J483</f>
        <v/>
      </c>
      <c r="E484">
        <f>IF(A484="",0,D484*C484/100/(DATE(YEAR(A484)+1,1,1)-DATE(YEAR(A484),1,1)))</f>
        <v/>
      </c>
      <c r="F484">
        <f>IF(A484="",0,SUMIF(Rechner!$A$12:$A$21,A484,Rechner!$B$12:$B$21))</f>
        <v/>
      </c>
      <c r="G484">
        <f>H483+E484</f>
        <v/>
      </c>
      <c r="H484">
        <f>G484-MIN(F484,G484)</f>
        <v/>
      </c>
      <c r="I484">
        <f>MIN(F484-MIN(F484,G484),D484)</f>
        <v/>
      </c>
      <c r="J484">
        <f>D484-I484</f>
        <v/>
      </c>
      <c r="K484">
        <f>F484-MIN(F484,G484)-I484</f>
        <v/>
      </c>
    </row>
    <row r="485">
      <c r="A485" s="21">
        <f>IF(Rechner!$E$4&lt;&gt;"ok","",IF(Rechner!$E$5+483&lt;=Rechner!$B$6,Rechner!$E$5+483,""))</f>
        <v/>
      </c>
      <c r="B485">
        <f>IF(A485="","",LOOKUP(A485,Basiszins!$A$5:$A$18,Basiszins!$B$5:$B$18))</f>
        <v/>
      </c>
      <c r="C485">
        <f>IF(A485="","",B485+Rechner!$E$7)</f>
        <v/>
      </c>
      <c r="D485">
        <f>J484</f>
        <v/>
      </c>
      <c r="E485">
        <f>IF(A485="",0,D485*C485/100/(DATE(YEAR(A485)+1,1,1)-DATE(YEAR(A485),1,1)))</f>
        <v/>
      </c>
      <c r="F485">
        <f>IF(A485="",0,SUMIF(Rechner!$A$12:$A$21,A485,Rechner!$B$12:$B$21))</f>
        <v/>
      </c>
      <c r="G485">
        <f>H484+E485</f>
        <v/>
      </c>
      <c r="H485">
        <f>G485-MIN(F485,G485)</f>
        <v/>
      </c>
      <c r="I485">
        <f>MIN(F485-MIN(F485,G485),D485)</f>
        <v/>
      </c>
      <c r="J485">
        <f>D485-I485</f>
        <v/>
      </c>
      <c r="K485">
        <f>F485-MIN(F485,G485)-I485</f>
        <v/>
      </c>
    </row>
    <row r="486">
      <c r="A486" s="21">
        <f>IF(Rechner!$E$4&lt;&gt;"ok","",IF(Rechner!$E$5+484&lt;=Rechner!$B$6,Rechner!$E$5+484,""))</f>
        <v/>
      </c>
      <c r="B486">
        <f>IF(A486="","",LOOKUP(A486,Basiszins!$A$5:$A$18,Basiszins!$B$5:$B$18))</f>
        <v/>
      </c>
      <c r="C486">
        <f>IF(A486="","",B486+Rechner!$E$7)</f>
        <v/>
      </c>
      <c r="D486">
        <f>J485</f>
        <v/>
      </c>
      <c r="E486">
        <f>IF(A486="",0,D486*C486/100/(DATE(YEAR(A486)+1,1,1)-DATE(YEAR(A486),1,1)))</f>
        <v/>
      </c>
      <c r="F486">
        <f>IF(A486="",0,SUMIF(Rechner!$A$12:$A$21,A486,Rechner!$B$12:$B$21))</f>
        <v/>
      </c>
      <c r="G486">
        <f>H485+E486</f>
        <v/>
      </c>
      <c r="H486">
        <f>G486-MIN(F486,G486)</f>
        <v/>
      </c>
      <c r="I486">
        <f>MIN(F486-MIN(F486,G486),D486)</f>
        <v/>
      </c>
      <c r="J486">
        <f>D486-I486</f>
        <v/>
      </c>
      <c r="K486">
        <f>F486-MIN(F486,G486)-I486</f>
        <v/>
      </c>
    </row>
    <row r="487">
      <c r="A487" s="21">
        <f>IF(Rechner!$E$4&lt;&gt;"ok","",IF(Rechner!$E$5+485&lt;=Rechner!$B$6,Rechner!$E$5+485,""))</f>
        <v/>
      </c>
      <c r="B487">
        <f>IF(A487="","",LOOKUP(A487,Basiszins!$A$5:$A$18,Basiszins!$B$5:$B$18))</f>
        <v/>
      </c>
      <c r="C487">
        <f>IF(A487="","",B487+Rechner!$E$7)</f>
        <v/>
      </c>
      <c r="D487">
        <f>J486</f>
        <v/>
      </c>
      <c r="E487">
        <f>IF(A487="",0,D487*C487/100/(DATE(YEAR(A487)+1,1,1)-DATE(YEAR(A487),1,1)))</f>
        <v/>
      </c>
      <c r="F487">
        <f>IF(A487="",0,SUMIF(Rechner!$A$12:$A$21,A487,Rechner!$B$12:$B$21))</f>
        <v/>
      </c>
      <c r="G487">
        <f>H486+E487</f>
        <v/>
      </c>
      <c r="H487">
        <f>G487-MIN(F487,G487)</f>
        <v/>
      </c>
      <c r="I487">
        <f>MIN(F487-MIN(F487,G487),D487)</f>
        <v/>
      </c>
      <c r="J487">
        <f>D487-I487</f>
        <v/>
      </c>
      <c r="K487">
        <f>F487-MIN(F487,G487)-I487</f>
        <v/>
      </c>
    </row>
    <row r="488">
      <c r="A488" s="21">
        <f>IF(Rechner!$E$4&lt;&gt;"ok","",IF(Rechner!$E$5+486&lt;=Rechner!$B$6,Rechner!$E$5+486,""))</f>
        <v/>
      </c>
      <c r="B488">
        <f>IF(A488="","",LOOKUP(A488,Basiszins!$A$5:$A$18,Basiszins!$B$5:$B$18))</f>
        <v/>
      </c>
      <c r="C488">
        <f>IF(A488="","",B488+Rechner!$E$7)</f>
        <v/>
      </c>
      <c r="D488">
        <f>J487</f>
        <v/>
      </c>
      <c r="E488">
        <f>IF(A488="",0,D488*C488/100/(DATE(YEAR(A488)+1,1,1)-DATE(YEAR(A488),1,1)))</f>
        <v/>
      </c>
      <c r="F488">
        <f>IF(A488="",0,SUMIF(Rechner!$A$12:$A$21,A488,Rechner!$B$12:$B$21))</f>
        <v/>
      </c>
      <c r="G488">
        <f>H487+E488</f>
        <v/>
      </c>
      <c r="H488">
        <f>G488-MIN(F488,G488)</f>
        <v/>
      </c>
      <c r="I488">
        <f>MIN(F488-MIN(F488,G488),D488)</f>
        <v/>
      </c>
      <c r="J488">
        <f>D488-I488</f>
        <v/>
      </c>
      <c r="K488">
        <f>F488-MIN(F488,G488)-I488</f>
        <v/>
      </c>
    </row>
    <row r="489">
      <c r="A489" s="21">
        <f>IF(Rechner!$E$4&lt;&gt;"ok","",IF(Rechner!$E$5+487&lt;=Rechner!$B$6,Rechner!$E$5+487,""))</f>
        <v/>
      </c>
      <c r="B489">
        <f>IF(A489="","",LOOKUP(A489,Basiszins!$A$5:$A$18,Basiszins!$B$5:$B$18))</f>
        <v/>
      </c>
      <c r="C489">
        <f>IF(A489="","",B489+Rechner!$E$7)</f>
        <v/>
      </c>
      <c r="D489">
        <f>J488</f>
        <v/>
      </c>
      <c r="E489">
        <f>IF(A489="",0,D489*C489/100/(DATE(YEAR(A489)+1,1,1)-DATE(YEAR(A489),1,1)))</f>
        <v/>
      </c>
      <c r="F489">
        <f>IF(A489="",0,SUMIF(Rechner!$A$12:$A$21,A489,Rechner!$B$12:$B$21))</f>
        <v/>
      </c>
      <c r="G489">
        <f>H488+E489</f>
        <v/>
      </c>
      <c r="H489">
        <f>G489-MIN(F489,G489)</f>
        <v/>
      </c>
      <c r="I489">
        <f>MIN(F489-MIN(F489,G489),D489)</f>
        <v/>
      </c>
      <c r="J489">
        <f>D489-I489</f>
        <v/>
      </c>
      <c r="K489">
        <f>F489-MIN(F489,G489)-I489</f>
        <v/>
      </c>
    </row>
    <row r="490">
      <c r="A490" s="21">
        <f>IF(Rechner!$E$4&lt;&gt;"ok","",IF(Rechner!$E$5+488&lt;=Rechner!$B$6,Rechner!$E$5+488,""))</f>
        <v/>
      </c>
      <c r="B490">
        <f>IF(A490="","",LOOKUP(A490,Basiszins!$A$5:$A$18,Basiszins!$B$5:$B$18))</f>
        <v/>
      </c>
      <c r="C490">
        <f>IF(A490="","",B490+Rechner!$E$7)</f>
        <v/>
      </c>
      <c r="D490">
        <f>J489</f>
        <v/>
      </c>
      <c r="E490">
        <f>IF(A490="",0,D490*C490/100/(DATE(YEAR(A490)+1,1,1)-DATE(YEAR(A490),1,1)))</f>
        <v/>
      </c>
      <c r="F490">
        <f>IF(A490="",0,SUMIF(Rechner!$A$12:$A$21,A490,Rechner!$B$12:$B$21))</f>
        <v/>
      </c>
      <c r="G490">
        <f>H489+E490</f>
        <v/>
      </c>
      <c r="H490">
        <f>G490-MIN(F490,G490)</f>
        <v/>
      </c>
      <c r="I490">
        <f>MIN(F490-MIN(F490,G490),D490)</f>
        <v/>
      </c>
      <c r="J490">
        <f>D490-I490</f>
        <v/>
      </c>
      <c r="K490">
        <f>F490-MIN(F490,G490)-I490</f>
        <v/>
      </c>
    </row>
    <row r="491">
      <c r="A491" s="21">
        <f>IF(Rechner!$E$4&lt;&gt;"ok","",IF(Rechner!$E$5+489&lt;=Rechner!$B$6,Rechner!$E$5+489,""))</f>
        <v/>
      </c>
      <c r="B491">
        <f>IF(A491="","",LOOKUP(A491,Basiszins!$A$5:$A$18,Basiszins!$B$5:$B$18))</f>
        <v/>
      </c>
      <c r="C491">
        <f>IF(A491="","",B491+Rechner!$E$7)</f>
        <v/>
      </c>
      <c r="D491">
        <f>J490</f>
        <v/>
      </c>
      <c r="E491">
        <f>IF(A491="",0,D491*C491/100/(DATE(YEAR(A491)+1,1,1)-DATE(YEAR(A491),1,1)))</f>
        <v/>
      </c>
      <c r="F491">
        <f>IF(A491="",0,SUMIF(Rechner!$A$12:$A$21,A491,Rechner!$B$12:$B$21))</f>
        <v/>
      </c>
      <c r="G491">
        <f>H490+E491</f>
        <v/>
      </c>
      <c r="H491">
        <f>G491-MIN(F491,G491)</f>
        <v/>
      </c>
      <c r="I491">
        <f>MIN(F491-MIN(F491,G491),D491)</f>
        <v/>
      </c>
      <c r="J491">
        <f>D491-I491</f>
        <v/>
      </c>
      <c r="K491">
        <f>F491-MIN(F491,G491)-I491</f>
        <v/>
      </c>
    </row>
    <row r="492">
      <c r="A492" s="21">
        <f>IF(Rechner!$E$4&lt;&gt;"ok","",IF(Rechner!$E$5+490&lt;=Rechner!$B$6,Rechner!$E$5+490,""))</f>
        <v/>
      </c>
      <c r="B492">
        <f>IF(A492="","",LOOKUP(A492,Basiszins!$A$5:$A$18,Basiszins!$B$5:$B$18))</f>
        <v/>
      </c>
      <c r="C492">
        <f>IF(A492="","",B492+Rechner!$E$7)</f>
        <v/>
      </c>
      <c r="D492">
        <f>J491</f>
        <v/>
      </c>
      <c r="E492">
        <f>IF(A492="",0,D492*C492/100/(DATE(YEAR(A492)+1,1,1)-DATE(YEAR(A492),1,1)))</f>
        <v/>
      </c>
      <c r="F492">
        <f>IF(A492="",0,SUMIF(Rechner!$A$12:$A$21,A492,Rechner!$B$12:$B$21))</f>
        <v/>
      </c>
      <c r="G492">
        <f>H491+E492</f>
        <v/>
      </c>
      <c r="H492">
        <f>G492-MIN(F492,G492)</f>
        <v/>
      </c>
      <c r="I492">
        <f>MIN(F492-MIN(F492,G492),D492)</f>
        <v/>
      </c>
      <c r="J492">
        <f>D492-I492</f>
        <v/>
      </c>
      <c r="K492">
        <f>F492-MIN(F492,G492)-I492</f>
        <v/>
      </c>
    </row>
    <row r="493">
      <c r="A493" s="21">
        <f>IF(Rechner!$E$4&lt;&gt;"ok","",IF(Rechner!$E$5+491&lt;=Rechner!$B$6,Rechner!$E$5+491,""))</f>
        <v/>
      </c>
      <c r="B493">
        <f>IF(A493="","",LOOKUP(A493,Basiszins!$A$5:$A$18,Basiszins!$B$5:$B$18))</f>
        <v/>
      </c>
      <c r="C493">
        <f>IF(A493="","",B493+Rechner!$E$7)</f>
        <v/>
      </c>
      <c r="D493">
        <f>J492</f>
        <v/>
      </c>
      <c r="E493">
        <f>IF(A493="",0,D493*C493/100/(DATE(YEAR(A493)+1,1,1)-DATE(YEAR(A493),1,1)))</f>
        <v/>
      </c>
      <c r="F493">
        <f>IF(A493="",0,SUMIF(Rechner!$A$12:$A$21,A493,Rechner!$B$12:$B$21))</f>
        <v/>
      </c>
      <c r="G493">
        <f>H492+E493</f>
        <v/>
      </c>
      <c r="H493">
        <f>G493-MIN(F493,G493)</f>
        <v/>
      </c>
      <c r="I493">
        <f>MIN(F493-MIN(F493,G493),D493)</f>
        <v/>
      </c>
      <c r="J493">
        <f>D493-I493</f>
        <v/>
      </c>
      <c r="K493">
        <f>F493-MIN(F493,G493)-I493</f>
        <v/>
      </c>
    </row>
    <row r="494">
      <c r="A494" s="21">
        <f>IF(Rechner!$E$4&lt;&gt;"ok","",IF(Rechner!$E$5+492&lt;=Rechner!$B$6,Rechner!$E$5+492,""))</f>
        <v/>
      </c>
      <c r="B494">
        <f>IF(A494="","",LOOKUP(A494,Basiszins!$A$5:$A$18,Basiszins!$B$5:$B$18))</f>
        <v/>
      </c>
      <c r="C494">
        <f>IF(A494="","",B494+Rechner!$E$7)</f>
        <v/>
      </c>
      <c r="D494">
        <f>J493</f>
        <v/>
      </c>
      <c r="E494">
        <f>IF(A494="",0,D494*C494/100/(DATE(YEAR(A494)+1,1,1)-DATE(YEAR(A494),1,1)))</f>
        <v/>
      </c>
      <c r="F494">
        <f>IF(A494="",0,SUMIF(Rechner!$A$12:$A$21,A494,Rechner!$B$12:$B$21))</f>
        <v/>
      </c>
      <c r="G494">
        <f>H493+E494</f>
        <v/>
      </c>
      <c r="H494">
        <f>G494-MIN(F494,G494)</f>
        <v/>
      </c>
      <c r="I494">
        <f>MIN(F494-MIN(F494,G494),D494)</f>
        <v/>
      </c>
      <c r="J494">
        <f>D494-I494</f>
        <v/>
      </c>
      <c r="K494">
        <f>F494-MIN(F494,G494)-I494</f>
        <v/>
      </c>
    </row>
    <row r="495">
      <c r="A495" s="21">
        <f>IF(Rechner!$E$4&lt;&gt;"ok","",IF(Rechner!$E$5+493&lt;=Rechner!$B$6,Rechner!$E$5+493,""))</f>
        <v/>
      </c>
      <c r="B495">
        <f>IF(A495="","",LOOKUP(A495,Basiszins!$A$5:$A$18,Basiszins!$B$5:$B$18))</f>
        <v/>
      </c>
      <c r="C495">
        <f>IF(A495="","",B495+Rechner!$E$7)</f>
        <v/>
      </c>
      <c r="D495">
        <f>J494</f>
        <v/>
      </c>
      <c r="E495">
        <f>IF(A495="",0,D495*C495/100/(DATE(YEAR(A495)+1,1,1)-DATE(YEAR(A495),1,1)))</f>
        <v/>
      </c>
      <c r="F495">
        <f>IF(A495="",0,SUMIF(Rechner!$A$12:$A$21,A495,Rechner!$B$12:$B$21))</f>
        <v/>
      </c>
      <c r="G495">
        <f>H494+E495</f>
        <v/>
      </c>
      <c r="H495">
        <f>G495-MIN(F495,G495)</f>
        <v/>
      </c>
      <c r="I495">
        <f>MIN(F495-MIN(F495,G495),D495)</f>
        <v/>
      </c>
      <c r="J495">
        <f>D495-I495</f>
        <v/>
      </c>
      <c r="K495">
        <f>F495-MIN(F495,G495)-I495</f>
        <v/>
      </c>
    </row>
    <row r="496">
      <c r="A496" s="21">
        <f>IF(Rechner!$E$4&lt;&gt;"ok","",IF(Rechner!$E$5+494&lt;=Rechner!$B$6,Rechner!$E$5+494,""))</f>
        <v/>
      </c>
      <c r="B496">
        <f>IF(A496="","",LOOKUP(A496,Basiszins!$A$5:$A$18,Basiszins!$B$5:$B$18))</f>
        <v/>
      </c>
      <c r="C496">
        <f>IF(A496="","",B496+Rechner!$E$7)</f>
        <v/>
      </c>
      <c r="D496">
        <f>J495</f>
        <v/>
      </c>
      <c r="E496">
        <f>IF(A496="",0,D496*C496/100/(DATE(YEAR(A496)+1,1,1)-DATE(YEAR(A496),1,1)))</f>
        <v/>
      </c>
      <c r="F496">
        <f>IF(A496="",0,SUMIF(Rechner!$A$12:$A$21,A496,Rechner!$B$12:$B$21))</f>
        <v/>
      </c>
      <c r="G496">
        <f>H495+E496</f>
        <v/>
      </c>
      <c r="H496">
        <f>G496-MIN(F496,G496)</f>
        <v/>
      </c>
      <c r="I496">
        <f>MIN(F496-MIN(F496,G496),D496)</f>
        <v/>
      </c>
      <c r="J496">
        <f>D496-I496</f>
        <v/>
      </c>
      <c r="K496">
        <f>F496-MIN(F496,G496)-I496</f>
        <v/>
      </c>
    </row>
    <row r="497">
      <c r="A497" s="21">
        <f>IF(Rechner!$E$4&lt;&gt;"ok","",IF(Rechner!$E$5+495&lt;=Rechner!$B$6,Rechner!$E$5+495,""))</f>
        <v/>
      </c>
      <c r="B497">
        <f>IF(A497="","",LOOKUP(A497,Basiszins!$A$5:$A$18,Basiszins!$B$5:$B$18))</f>
        <v/>
      </c>
      <c r="C497">
        <f>IF(A497="","",B497+Rechner!$E$7)</f>
        <v/>
      </c>
      <c r="D497">
        <f>J496</f>
        <v/>
      </c>
      <c r="E497">
        <f>IF(A497="",0,D497*C497/100/(DATE(YEAR(A497)+1,1,1)-DATE(YEAR(A497),1,1)))</f>
        <v/>
      </c>
      <c r="F497">
        <f>IF(A497="",0,SUMIF(Rechner!$A$12:$A$21,A497,Rechner!$B$12:$B$21))</f>
        <v/>
      </c>
      <c r="G497">
        <f>H496+E497</f>
        <v/>
      </c>
      <c r="H497">
        <f>G497-MIN(F497,G497)</f>
        <v/>
      </c>
      <c r="I497">
        <f>MIN(F497-MIN(F497,G497),D497)</f>
        <v/>
      </c>
      <c r="J497">
        <f>D497-I497</f>
        <v/>
      </c>
      <c r="K497">
        <f>F497-MIN(F497,G497)-I497</f>
        <v/>
      </c>
    </row>
    <row r="498">
      <c r="A498" s="21">
        <f>IF(Rechner!$E$4&lt;&gt;"ok","",IF(Rechner!$E$5+496&lt;=Rechner!$B$6,Rechner!$E$5+496,""))</f>
        <v/>
      </c>
      <c r="B498">
        <f>IF(A498="","",LOOKUP(A498,Basiszins!$A$5:$A$18,Basiszins!$B$5:$B$18))</f>
        <v/>
      </c>
      <c r="C498">
        <f>IF(A498="","",B498+Rechner!$E$7)</f>
        <v/>
      </c>
      <c r="D498">
        <f>J497</f>
        <v/>
      </c>
      <c r="E498">
        <f>IF(A498="",0,D498*C498/100/(DATE(YEAR(A498)+1,1,1)-DATE(YEAR(A498),1,1)))</f>
        <v/>
      </c>
      <c r="F498">
        <f>IF(A498="",0,SUMIF(Rechner!$A$12:$A$21,A498,Rechner!$B$12:$B$21))</f>
        <v/>
      </c>
      <c r="G498">
        <f>H497+E498</f>
        <v/>
      </c>
      <c r="H498">
        <f>G498-MIN(F498,G498)</f>
        <v/>
      </c>
      <c r="I498">
        <f>MIN(F498-MIN(F498,G498),D498)</f>
        <v/>
      </c>
      <c r="J498">
        <f>D498-I498</f>
        <v/>
      </c>
      <c r="K498">
        <f>F498-MIN(F498,G498)-I498</f>
        <v/>
      </c>
    </row>
    <row r="499">
      <c r="A499" s="21">
        <f>IF(Rechner!$E$4&lt;&gt;"ok","",IF(Rechner!$E$5+497&lt;=Rechner!$B$6,Rechner!$E$5+497,""))</f>
        <v/>
      </c>
      <c r="B499">
        <f>IF(A499="","",LOOKUP(A499,Basiszins!$A$5:$A$18,Basiszins!$B$5:$B$18))</f>
        <v/>
      </c>
      <c r="C499">
        <f>IF(A499="","",B499+Rechner!$E$7)</f>
        <v/>
      </c>
      <c r="D499">
        <f>J498</f>
        <v/>
      </c>
      <c r="E499">
        <f>IF(A499="",0,D499*C499/100/(DATE(YEAR(A499)+1,1,1)-DATE(YEAR(A499),1,1)))</f>
        <v/>
      </c>
      <c r="F499">
        <f>IF(A499="",0,SUMIF(Rechner!$A$12:$A$21,A499,Rechner!$B$12:$B$21))</f>
        <v/>
      </c>
      <c r="G499">
        <f>H498+E499</f>
        <v/>
      </c>
      <c r="H499">
        <f>G499-MIN(F499,G499)</f>
        <v/>
      </c>
      <c r="I499">
        <f>MIN(F499-MIN(F499,G499),D499)</f>
        <v/>
      </c>
      <c r="J499">
        <f>D499-I499</f>
        <v/>
      </c>
      <c r="K499">
        <f>F499-MIN(F499,G499)-I499</f>
        <v/>
      </c>
    </row>
    <row r="500">
      <c r="A500" s="21">
        <f>IF(Rechner!$E$4&lt;&gt;"ok","",IF(Rechner!$E$5+498&lt;=Rechner!$B$6,Rechner!$E$5+498,""))</f>
        <v/>
      </c>
      <c r="B500">
        <f>IF(A500="","",LOOKUP(A500,Basiszins!$A$5:$A$18,Basiszins!$B$5:$B$18))</f>
        <v/>
      </c>
      <c r="C500">
        <f>IF(A500="","",B500+Rechner!$E$7)</f>
        <v/>
      </c>
      <c r="D500">
        <f>J499</f>
        <v/>
      </c>
      <c r="E500">
        <f>IF(A500="",0,D500*C500/100/(DATE(YEAR(A500)+1,1,1)-DATE(YEAR(A500),1,1)))</f>
        <v/>
      </c>
      <c r="F500">
        <f>IF(A500="",0,SUMIF(Rechner!$A$12:$A$21,A500,Rechner!$B$12:$B$21))</f>
        <v/>
      </c>
      <c r="G500">
        <f>H499+E500</f>
        <v/>
      </c>
      <c r="H500">
        <f>G500-MIN(F500,G500)</f>
        <v/>
      </c>
      <c r="I500">
        <f>MIN(F500-MIN(F500,G500),D500)</f>
        <v/>
      </c>
      <c r="J500">
        <f>D500-I500</f>
        <v/>
      </c>
      <c r="K500">
        <f>F500-MIN(F500,G500)-I500</f>
        <v/>
      </c>
    </row>
    <row r="501">
      <c r="A501" s="21">
        <f>IF(Rechner!$E$4&lt;&gt;"ok","",IF(Rechner!$E$5+499&lt;=Rechner!$B$6,Rechner!$E$5+499,""))</f>
        <v/>
      </c>
      <c r="B501">
        <f>IF(A501="","",LOOKUP(A501,Basiszins!$A$5:$A$18,Basiszins!$B$5:$B$18))</f>
        <v/>
      </c>
      <c r="C501">
        <f>IF(A501="","",B501+Rechner!$E$7)</f>
        <v/>
      </c>
      <c r="D501">
        <f>J500</f>
        <v/>
      </c>
      <c r="E501">
        <f>IF(A501="",0,D501*C501/100/(DATE(YEAR(A501)+1,1,1)-DATE(YEAR(A501),1,1)))</f>
        <v/>
      </c>
      <c r="F501">
        <f>IF(A501="",0,SUMIF(Rechner!$A$12:$A$21,A501,Rechner!$B$12:$B$21))</f>
        <v/>
      </c>
      <c r="G501">
        <f>H500+E501</f>
        <v/>
      </c>
      <c r="H501">
        <f>G501-MIN(F501,G501)</f>
        <v/>
      </c>
      <c r="I501">
        <f>MIN(F501-MIN(F501,G501),D501)</f>
        <v/>
      </c>
      <c r="J501">
        <f>D501-I501</f>
        <v/>
      </c>
      <c r="K501">
        <f>F501-MIN(F501,G501)-I501</f>
        <v/>
      </c>
    </row>
    <row r="502">
      <c r="A502" s="21">
        <f>IF(Rechner!$E$4&lt;&gt;"ok","",IF(Rechner!$E$5+500&lt;=Rechner!$B$6,Rechner!$E$5+500,""))</f>
        <v/>
      </c>
      <c r="B502">
        <f>IF(A502="","",LOOKUP(A502,Basiszins!$A$5:$A$18,Basiszins!$B$5:$B$18))</f>
        <v/>
      </c>
      <c r="C502">
        <f>IF(A502="","",B502+Rechner!$E$7)</f>
        <v/>
      </c>
      <c r="D502">
        <f>J501</f>
        <v/>
      </c>
      <c r="E502">
        <f>IF(A502="",0,D502*C502/100/(DATE(YEAR(A502)+1,1,1)-DATE(YEAR(A502),1,1)))</f>
        <v/>
      </c>
      <c r="F502">
        <f>IF(A502="",0,SUMIF(Rechner!$A$12:$A$21,A502,Rechner!$B$12:$B$21))</f>
        <v/>
      </c>
      <c r="G502">
        <f>H501+E502</f>
        <v/>
      </c>
      <c r="H502">
        <f>G502-MIN(F502,G502)</f>
        <v/>
      </c>
      <c r="I502">
        <f>MIN(F502-MIN(F502,G502),D502)</f>
        <v/>
      </c>
      <c r="J502">
        <f>D502-I502</f>
        <v/>
      </c>
      <c r="K502">
        <f>F502-MIN(F502,G502)-I502</f>
        <v/>
      </c>
    </row>
    <row r="503">
      <c r="A503" s="21">
        <f>IF(Rechner!$E$4&lt;&gt;"ok","",IF(Rechner!$E$5+501&lt;=Rechner!$B$6,Rechner!$E$5+501,""))</f>
        <v/>
      </c>
      <c r="B503">
        <f>IF(A503="","",LOOKUP(A503,Basiszins!$A$5:$A$18,Basiszins!$B$5:$B$18))</f>
        <v/>
      </c>
      <c r="C503">
        <f>IF(A503="","",B503+Rechner!$E$7)</f>
        <v/>
      </c>
      <c r="D503">
        <f>J502</f>
        <v/>
      </c>
      <c r="E503">
        <f>IF(A503="",0,D503*C503/100/(DATE(YEAR(A503)+1,1,1)-DATE(YEAR(A503),1,1)))</f>
        <v/>
      </c>
      <c r="F503">
        <f>IF(A503="",0,SUMIF(Rechner!$A$12:$A$21,A503,Rechner!$B$12:$B$21))</f>
        <v/>
      </c>
      <c r="G503">
        <f>H502+E503</f>
        <v/>
      </c>
      <c r="H503">
        <f>G503-MIN(F503,G503)</f>
        <v/>
      </c>
      <c r="I503">
        <f>MIN(F503-MIN(F503,G503),D503)</f>
        <v/>
      </c>
      <c r="J503">
        <f>D503-I503</f>
        <v/>
      </c>
      <c r="K503">
        <f>F503-MIN(F503,G503)-I503</f>
        <v/>
      </c>
    </row>
    <row r="504">
      <c r="A504" s="21">
        <f>IF(Rechner!$E$4&lt;&gt;"ok","",IF(Rechner!$E$5+502&lt;=Rechner!$B$6,Rechner!$E$5+502,""))</f>
        <v/>
      </c>
      <c r="B504">
        <f>IF(A504="","",LOOKUP(A504,Basiszins!$A$5:$A$18,Basiszins!$B$5:$B$18))</f>
        <v/>
      </c>
      <c r="C504">
        <f>IF(A504="","",B504+Rechner!$E$7)</f>
        <v/>
      </c>
      <c r="D504">
        <f>J503</f>
        <v/>
      </c>
      <c r="E504">
        <f>IF(A504="",0,D504*C504/100/(DATE(YEAR(A504)+1,1,1)-DATE(YEAR(A504),1,1)))</f>
        <v/>
      </c>
      <c r="F504">
        <f>IF(A504="",0,SUMIF(Rechner!$A$12:$A$21,A504,Rechner!$B$12:$B$21))</f>
        <v/>
      </c>
      <c r="G504">
        <f>H503+E504</f>
        <v/>
      </c>
      <c r="H504">
        <f>G504-MIN(F504,G504)</f>
        <v/>
      </c>
      <c r="I504">
        <f>MIN(F504-MIN(F504,G504),D504)</f>
        <v/>
      </c>
      <c r="J504">
        <f>D504-I504</f>
        <v/>
      </c>
      <c r="K504">
        <f>F504-MIN(F504,G504)-I504</f>
        <v/>
      </c>
    </row>
    <row r="505">
      <c r="A505" s="21">
        <f>IF(Rechner!$E$4&lt;&gt;"ok","",IF(Rechner!$E$5+503&lt;=Rechner!$B$6,Rechner!$E$5+503,""))</f>
        <v/>
      </c>
      <c r="B505">
        <f>IF(A505="","",LOOKUP(A505,Basiszins!$A$5:$A$18,Basiszins!$B$5:$B$18))</f>
        <v/>
      </c>
      <c r="C505">
        <f>IF(A505="","",B505+Rechner!$E$7)</f>
        <v/>
      </c>
      <c r="D505">
        <f>J504</f>
        <v/>
      </c>
      <c r="E505">
        <f>IF(A505="",0,D505*C505/100/(DATE(YEAR(A505)+1,1,1)-DATE(YEAR(A505),1,1)))</f>
        <v/>
      </c>
      <c r="F505">
        <f>IF(A505="",0,SUMIF(Rechner!$A$12:$A$21,A505,Rechner!$B$12:$B$21))</f>
        <v/>
      </c>
      <c r="G505">
        <f>H504+E505</f>
        <v/>
      </c>
      <c r="H505">
        <f>G505-MIN(F505,G505)</f>
        <v/>
      </c>
      <c r="I505">
        <f>MIN(F505-MIN(F505,G505),D505)</f>
        <v/>
      </c>
      <c r="J505">
        <f>D505-I505</f>
        <v/>
      </c>
      <c r="K505">
        <f>F505-MIN(F505,G505)-I505</f>
        <v/>
      </c>
    </row>
    <row r="506">
      <c r="A506" s="21">
        <f>IF(Rechner!$E$4&lt;&gt;"ok","",IF(Rechner!$E$5+504&lt;=Rechner!$B$6,Rechner!$E$5+504,""))</f>
        <v/>
      </c>
      <c r="B506">
        <f>IF(A506="","",LOOKUP(A506,Basiszins!$A$5:$A$18,Basiszins!$B$5:$B$18))</f>
        <v/>
      </c>
      <c r="C506">
        <f>IF(A506="","",B506+Rechner!$E$7)</f>
        <v/>
      </c>
      <c r="D506">
        <f>J505</f>
        <v/>
      </c>
      <c r="E506">
        <f>IF(A506="",0,D506*C506/100/(DATE(YEAR(A506)+1,1,1)-DATE(YEAR(A506),1,1)))</f>
        <v/>
      </c>
      <c r="F506">
        <f>IF(A506="",0,SUMIF(Rechner!$A$12:$A$21,A506,Rechner!$B$12:$B$21))</f>
        <v/>
      </c>
      <c r="G506">
        <f>H505+E506</f>
        <v/>
      </c>
      <c r="H506">
        <f>G506-MIN(F506,G506)</f>
        <v/>
      </c>
      <c r="I506">
        <f>MIN(F506-MIN(F506,G506),D506)</f>
        <v/>
      </c>
      <c r="J506">
        <f>D506-I506</f>
        <v/>
      </c>
      <c r="K506">
        <f>F506-MIN(F506,G506)-I506</f>
        <v/>
      </c>
    </row>
    <row r="507">
      <c r="A507" s="21">
        <f>IF(Rechner!$E$4&lt;&gt;"ok","",IF(Rechner!$E$5+505&lt;=Rechner!$B$6,Rechner!$E$5+505,""))</f>
        <v/>
      </c>
      <c r="B507">
        <f>IF(A507="","",LOOKUP(A507,Basiszins!$A$5:$A$18,Basiszins!$B$5:$B$18))</f>
        <v/>
      </c>
      <c r="C507">
        <f>IF(A507="","",B507+Rechner!$E$7)</f>
        <v/>
      </c>
      <c r="D507">
        <f>J506</f>
        <v/>
      </c>
      <c r="E507">
        <f>IF(A507="",0,D507*C507/100/(DATE(YEAR(A507)+1,1,1)-DATE(YEAR(A507),1,1)))</f>
        <v/>
      </c>
      <c r="F507">
        <f>IF(A507="",0,SUMIF(Rechner!$A$12:$A$21,A507,Rechner!$B$12:$B$21))</f>
        <v/>
      </c>
      <c r="G507">
        <f>H506+E507</f>
        <v/>
      </c>
      <c r="H507">
        <f>G507-MIN(F507,G507)</f>
        <v/>
      </c>
      <c r="I507">
        <f>MIN(F507-MIN(F507,G507),D507)</f>
        <v/>
      </c>
      <c r="J507">
        <f>D507-I507</f>
        <v/>
      </c>
      <c r="K507">
        <f>F507-MIN(F507,G507)-I507</f>
        <v/>
      </c>
    </row>
    <row r="508">
      <c r="A508" s="21">
        <f>IF(Rechner!$E$4&lt;&gt;"ok","",IF(Rechner!$E$5+506&lt;=Rechner!$B$6,Rechner!$E$5+506,""))</f>
        <v/>
      </c>
      <c r="B508">
        <f>IF(A508="","",LOOKUP(A508,Basiszins!$A$5:$A$18,Basiszins!$B$5:$B$18))</f>
        <v/>
      </c>
      <c r="C508">
        <f>IF(A508="","",B508+Rechner!$E$7)</f>
        <v/>
      </c>
      <c r="D508">
        <f>J507</f>
        <v/>
      </c>
      <c r="E508">
        <f>IF(A508="",0,D508*C508/100/(DATE(YEAR(A508)+1,1,1)-DATE(YEAR(A508),1,1)))</f>
        <v/>
      </c>
      <c r="F508">
        <f>IF(A508="",0,SUMIF(Rechner!$A$12:$A$21,A508,Rechner!$B$12:$B$21))</f>
        <v/>
      </c>
      <c r="G508">
        <f>H507+E508</f>
        <v/>
      </c>
      <c r="H508">
        <f>G508-MIN(F508,G508)</f>
        <v/>
      </c>
      <c r="I508">
        <f>MIN(F508-MIN(F508,G508),D508)</f>
        <v/>
      </c>
      <c r="J508">
        <f>D508-I508</f>
        <v/>
      </c>
      <c r="K508">
        <f>F508-MIN(F508,G508)-I508</f>
        <v/>
      </c>
    </row>
    <row r="509">
      <c r="A509" s="21">
        <f>IF(Rechner!$E$4&lt;&gt;"ok","",IF(Rechner!$E$5+507&lt;=Rechner!$B$6,Rechner!$E$5+507,""))</f>
        <v/>
      </c>
      <c r="B509">
        <f>IF(A509="","",LOOKUP(A509,Basiszins!$A$5:$A$18,Basiszins!$B$5:$B$18))</f>
        <v/>
      </c>
      <c r="C509">
        <f>IF(A509="","",B509+Rechner!$E$7)</f>
        <v/>
      </c>
      <c r="D509">
        <f>J508</f>
        <v/>
      </c>
      <c r="E509">
        <f>IF(A509="",0,D509*C509/100/(DATE(YEAR(A509)+1,1,1)-DATE(YEAR(A509),1,1)))</f>
        <v/>
      </c>
      <c r="F509">
        <f>IF(A509="",0,SUMIF(Rechner!$A$12:$A$21,A509,Rechner!$B$12:$B$21))</f>
        <v/>
      </c>
      <c r="G509">
        <f>H508+E509</f>
        <v/>
      </c>
      <c r="H509">
        <f>G509-MIN(F509,G509)</f>
        <v/>
      </c>
      <c r="I509">
        <f>MIN(F509-MIN(F509,G509),D509)</f>
        <v/>
      </c>
      <c r="J509">
        <f>D509-I509</f>
        <v/>
      </c>
      <c r="K509">
        <f>F509-MIN(F509,G509)-I509</f>
        <v/>
      </c>
    </row>
    <row r="510">
      <c r="A510" s="21">
        <f>IF(Rechner!$E$4&lt;&gt;"ok","",IF(Rechner!$E$5+508&lt;=Rechner!$B$6,Rechner!$E$5+508,""))</f>
        <v/>
      </c>
      <c r="B510">
        <f>IF(A510="","",LOOKUP(A510,Basiszins!$A$5:$A$18,Basiszins!$B$5:$B$18))</f>
        <v/>
      </c>
      <c r="C510">
        <f>IF(A510="","",B510+Rechner!$E$7)</f>
        <v/>
      </c>
      <c r="D510">
        <f>J509</f>
        <v/>
      </c>
      <c r="E510">
        <f>IF(A510="",0,D510*C510/100/(DATE(YEAR(A510)+1,1,1)-DATE(YEAR(A510),1,1)))</f>
        <v/>
      </c>
      <c r="F510">
        <f>IF(A510="",0,SUMIF(Rechner!$A$12:$A$21,A510,Rechner!$B$12:$B$21))</f>
        <v/>
      </c>
      <c r="G510">
        <f>H509+E510</f>
        <v/>
      </c>
      <c r="H510">
        <f>G510-MIN(F510,G510)</f>
        <v/>
      </c>
      <c r="I510">
        <f>MIN(F510-MIN(F510,G510),D510)</f>
        <v/>
      </c>
      <c r="J510">
        <f>D510-I510</f>
        <v/>
      </c>
      <c r="K510">
        <f>F510-MIN(F510,G510)-I510</f>
        <v/>
      </c>
    </row>
    <row r="511">
      <c r="A511" s="21">
        <f>IF(Rechner!$E$4&lt;&gt;"ok","",IF(Rechner!$E$5+509&lt;=Rechner!$B$6,Rechner!$E$5+509,""))</f>
        <v/>
      </c>
      <c r="B511">
        <f>IF(A511="","",LOOKUP(A511,Basiszins!$A$5:$A$18,Basiszins!$B$5:$B$18))</f>
        <v/>
      </c>
      <c r="C511">
        <f>IF(A511="","",B511+Rechner!$E$7)</f>
        <v/>
      </c>
      <c r="D511">
        <f>J510</f>
        <v/>
      </c>
      <c r="E511">
        <f>IF(A511="",0,D511*C511/100/(DATE(YEAR(A511)+1,1,1)-DATE(YEAR(A511),1,1)))</f>
        <v/>
      </c>
      <c r="F511">
        <f>IF(A511="",0,SUMIF(Rechner!$A$12:$A$21,A511,Rechner!$B$12:$B$21))</f>
        <v/>
      </c>
      <c r="G511">
        <f>H510+E511</f>
        <v/>
      </c>
      <c r="H511">
        <f>G511-MIN(F511,G511)</f>
        <v/>
      </c>
      <c r="I511">
        <f>MIN(F511-MIN(F511,G511),D511)</f>
        <v/>
      </c>
      <c r="J511">
        <f>D511-I511</f>
        <v/>
      </c>
      <c r="K511">
        <f>F511-MIN(F511,G511)-I511</f>
        <v/>
      </c>
    </row>
    <row r="512">
      <c r="A512" s="21">
        <f>IF(Rechner!$E$4&lt;&gt;"ok","",IF(Rechner!$E$5+510&lt;=Rechner!$B$6,Rechner!$E$5+510,""))</f>
        <v/>
      </c>
      <c r="B512">
        <f>IF(A512="","",LOOKUP(A512,Basiszins!$A$5:$A$18,Basiszins!$B$5:$B$18))</f>
        <v/>
      </c>
      <c r="C512">
        <f>IF(A512="","",B512+Rechner!$E$7)</f>
        <v/>
      </c>
      <c r="D512">
        <f>J511</f>
        <v/>
      </c>
      <c r="E512">
        <f>IF(A512="",0,D512*C512/100/(DATE(YEAR(A512)+1,1,1)-DATE(YEAR(A512),1,1)))</f>
        <v/>
      </c>
      <c r="F512">
        <f>IF(A512="",0,SUMIF(Rechner!$A$12:$A$21,A512,Rechner!$B$12:$B$21))</f>
        <v/>
      </c>
      <c r="G512">
        <f>H511+E512</f>
        <v/>
      </c>
      <c r="H512">
        <f>G512-MIN(F512,G512)</f>
        <v/>
      </c>
      <c r="I512">
        <f>MIN(F512-MIN(F512,G512),D512)</f>
        <v/>
      </c>
      <c r="J512">
        <f>D512-I512</f>
        <v/>
      </c>
      <c r="K512">
        <f>F512-MIN(F512,G512)-I512</f>
        <v/>
      </c>
    </row>
    <row r="513">
      <c r="A513" s="21">
        <f>IF(Rechner!$E$4&lt;&gt;"ok","",IF(Rechner!$E$5+511&lt;=Rechner!$B$6,Rechner!$E$5+511,""))</f>
        <v/>
      </c>
      <c r="B513">
        <f>IF(A513="","",LOOKUP(A513,Basiszins!$A$5:$A$18,Basiszins!$B$5:$B$18))</f>
        <v/>
      </c>
      <c r="C513">
        <f>IF(A513="","",B513+Rechner!$E$7)</f>
        <v/>
      </c>
      <c r="D513">
        <f>J512</f>
        <v/>
      </c>
      <c r="E513">
        <f>IF(A513="",0,D513*C513/100/(DATE(YEAR(A513)+1,1,1)-DATE(YEAR(A513),1,1)))</f>
        <v/>
      </c>
      <c r="F513">
        <f>IF(A513="",0,SUMIF(Rechner!$A$12:$A$21,A513,Rechner!$B$12:$B$21))</f>
        <v/>
      </c>
      <c r="G513">
        <f>H512+E513</f>
        <v/>
      </c>
      <c r="H513">
        <f>G513-MIN(F513,G513)</f>
        <v/>
      </c>
      <c r="I513">
        <f>MIN(F513-MIN(F513,G513),D513)</f>
        <v/>
      </c>
      <c r="J513">
        <f>D513-I513</f>
        <v/>
      </c>
      <c r="K513">
        <f>F513-MIN(F513,G513)-I513</f>
        <v/>
      </c>
    </row>
    <row r="514">
      <c r="A514" s="21">
        <f>IF(Rechner!$E$4&lt;&gt;"ok","",IF(Rechner!$E$5+512&lt;=Rechner!$B$6,Rechner!$E$5+512,""))</f>
        <v/>
      </c>
      <c r="B514">
        <f>IF(A514="","",LOOKUP(A514,Basiszins!$A$5:$A$18,Basiszins!$B$5:$B$18))</f>
        <v/>
      </c>
      <c r="C514">
        <f>IF(A514="","",B514+Rechner!$E$7)</f>
        <v/>
      </c>
      <c r="D514">
        <f>J513</f>
        <v/>
      </c>
      <c r="E514">
        <f>IF(A514="",0,D514*C514/100/(DATE(YEAR(A514)+1,1,1)-DATE(YEAR(A514),1,1)))</f>
        <v/>
      </c>
      <c r="F514">
        <f>IF(A514="",0,SUMIF(Rechner!$A$12:$A$21,A514,Rechner!$B$12:$B$21))</f>
        <v/>
      </c>
      <c r="G514">
        <f>H513+E514</f>
        <v/>
      </c>
      <c r="H514">
        <f>G514-MIN(F514,G514)</f>
        <v/>
      </c>
      <c r="I514">
        <f>MIN(F514-MIN(F514,G514),D514)</f>
        <v/>
      </c>
      <c r="J514">
        <f>D514-I514</f>
        <v/>
      </c>
      <c r="K514">
        <f>F514-MIN(F514,G514)-I514</f>
        <v/>
      </c>
    </row>
    <row r="515">
      <c r="A515" s="21">
        <f>IF(Rechner!$E$4&lt;&gt;"ok","",IF(Rechner!$E$5+513&lt;=Rechner!$B$6,Rechner!$E$5+513,""))</f>
        <v/>
      </c>
      <c r="B515">
        <f>IF(A515="","",LOOKUP(A515,Basiszins!$A$5:$A$18,Basiszins!$B$5:$B$18))</f>
        <v/>
      </c>
      <c r="C515">
        <f>IF(A515="","",B515+Rechner!$E$7)</f>
        <v/>
      </c>
      <c r="D515">
        <f>J514</f>
        <v/>
      </c>
      <c r="E515">
        <f>IF(A515="",0,D515*C515/100/(DATE(YEAR(A515)+1,1,1)-DATE(YEAR(A515),1,1)))</f>
        <v/>
      </c>
      <c r="F515">
        <f>IF(A515="",0,SUMIF(Rechner!$A$12:$A$21,A515,Rechner!$B$12:$B$21))</f>
        <v/>
      </c>
      <c r="G515">
        <f>H514+E515</f>
        <v/>
      </c>
      <c r="H515">
        <f>G515-MIN(F515,G515)</f>
        <v/>
      </c>
      <c r="I515">
        <f>MIN(F515-MIN(F515,G515),D515)</f>
        <v/>
      </c>
      <c r="J515">
        <f>D515-I515</f>
        <v/>
      </c>
      <c r="K515">
        <f>F515-MIN(F515,G515)-I515</f>
        <v/>
      </c>
    </row>
    <row r="516">
      <c r="A516" s="21">
        <f>IF(Rechner!$E$4&lt;&gt;"ok","",IF(Rechner!$E$5+514&lt;=Rechner!$B$6,Rechner!$E$5+514,""))</f>
        <v/>
      </c>
      <c r="B516">
        <f>IF(A516="","",LOOKUP(A516,Basiszins!$A$5:$A$18,Basiszins!$B$5:$B$18))</f>
        <v/>
      </c>
      <c r="C516">
        <f>IF(A516="","",B516+Rechner!$E$7)</f>
        <v/>
      </c>
      <c r="D516">
        <f>J515</f>
        <v/>
      </c>
      <c r="E516">
        <f>IF(A516="",0,D516*C516/100/(DATE(YEAR(A516)+1,1,1)-DATE(YEAR(A516),1,1)))</f>
        <v/>
      </c>
      <c r="F516">
        <f>IF(A516="",0,SUMIF(Rechner!$A$12:$A$21,A516,Rechner!$B$12:$B$21))</f>
        <v/>
      </c>
      <c r="G516">
        <f>H515+E516</f>
        <v/>
      </c>
      <c r="H516">
        <f>G516-MIN(F516,G516)</f>
        <v/>
      </c>
      <c r="I516">
        <f>MIN(F516-MIN(F516,G516),D516)</f>
        <v/>
      </c>
      <c r="J516">
        <f>D516-I516</f>
        <v/>
      </c>
      <c r="K516">
        <f>F516-MIN(F516,G516)-I516</f>
        <v/>
      </c>
    </row>
    <row r="517">
      <c r="A517" s="21">
        <f>IF(Rechner!$E$4&lt;&gt;"ok","",IF(Rechner!$E$5+515&lt;=Rechner!$B$6,Rechner!$E$5+515,""))</f>
        <v/>
      </c>
      <c r="B517">
        <f>IF(A517="","",LOOKUP(A517,Basiszins!$A$5:$A$18,Basiszins!$B$5:$B$18))</f>
        <v/>
      </c>
      <c r="C517">
        <f>IF(A517="","",B517+Rechner!$E$7)</f>
        <v/>
      </c>
      <c r="D517">
        <f>J516</f>
        <v/>
      </c>
      <c r="E517">
        <f>IF(A517="",0,D517*C517/100/(DATE(YEAR(A517)+1,1,1)-DATE(YEAR(A517),1,1)))</f>
        <v/>
      </c>
      <c r="F517">
        <f>IF(A517="",0,SUMIF(Rechner!$A$12:$A$21,A517,Rechner!$B$12:$B$21))</f>
        <v/>
      </c>
      <c r="G517">
        <f>H516+E517</f>
        <v/>
      </c>
      <c r="H517">
        <f>G517-MIN(F517,G517)</f>
        <v/>
      </c>
      <c r="I517">
        <f>MIN(F517-MIN(F517,G517),D517)</f>
        <v/>
      </c>
      <c r="J517">
        <f>D517-I517</f>
        <v/>
      </c>
      <c r="K517">
        <f>F517-MIN(F517,G517)-I517</f>
        <v/>
      </c>
    </row>
    <row r="518">
      <c r="A518" s="21">
        <f>IF(Rechner!$E$4&lt;&gt;"ok","",IF(Rechner!$E$5+516&lt;=Rechner!$B$6,Rechner!$E$5+516,""))</f>
        <v/>
      </c>
      <c r="B518">
        <f>IF(A518="","",LOOKUP(A518,Basiszins!$A$5:$A$18,Basiszins!$B$5:$B$18))</f>
        <v/>
      </c>
      <c r="C518">
        <f>IF(A518="","",B518+Rechner!$E$7)</f>
        <v/>
      </c>
      <c r="D518">
        <f>J517</f>
        <v/>
      </c>
      <c r="E518">
        <f>IF(A518="",0,D518*C518/100/(DATE(YEAR(A518)+1,1,1)-DATE(YEAR(A518),1,1)))</f>
        <v/>
      </c>
      <c r="F518">
        <f>IF(A518="",0,SUMIF(Rechner!$A$12:$A$21,A518,Rechner!$B$12:$B$21))</f>
        <v/>
      </c>
      <c r="G518">
        <f>H517+E518</f>
        <v/>
      </c>
      <c r="H518">
        <f>G518-MIN(F518,G518)</f>
        <v/>
      </c>
      <c r="I518">
        <f>MIN(F518-MIN(F518,G518),D518)</f>
        <v/>
      </c>
      <c r="J518">
        <f>D518-I518</f>
        <v/>
      </c>
      <c r="K518">
        <f>F518-MIN(F518,G518)-I518</f>
        <v/>
      </c>
    </row>
    <row r="519">
      <c r="A519" s="21">
        <f>IF(Rechner!$E$4&lt;&gt;"ok","",IF(Rechner!$E$5+517&lt;=Rechner!$B$6,Rechner!$E$5+517,""))</f>
        <v/>
      </c>
      <c r="B519">
        <f>IF(A519="","",LOOKUP(A519,Basiszins!$A$5:$A$18,Basiszins!$B$5:$B$18))</f>
        <v/>
      </c>
      <c r="C519">
        <f>IF(A519="","",B519+Rechner!$E$7)</f>
        <v/>
      </c>
      <c r="D519">
        <f>J518</f>
        <v/>
      </c>
      <c r="E519">
        <f>IF(A519="",0,D519*C519/100/(DATE(YEAR(A519)+1,1,1)-DATE(YEAR(A519),1,1)))</f>
        <v/>
      </c>
      <c r="F519">
        <f>IF(A519="",0,SUMIF(Rechner!$A$12:$A$21,A519,Rechner!$B$12:$B$21))</f>
        <v/>
      </c>
      <c r="G519">
        <f>H518+E519</f>
        <v/>
      </c>
      <c r="H519">
        <f>G519-MIN(F519,G519)</f>
        <v/>
      </c>
      <c r="I519">
        <f>MIN(F519-MIN(F519,G519),D519)</f>
        <v/>
      </c>
      <c r="J519">
        <f>D519-I519</f>
        <v/>
      </c>
      <c r="K519">
        <f>F519-MIN(F519,G519)-I519</f>
        <v/>
      </c>
    </row>
    <row r="520">
      <c r="A520" s="21">
        <f>IF(Rechner!$E$4&lt;&gt;"ok","",IF(Rechner!$E$5+518&lt;=Rechner!$B$6,Rechner!$E$5+518,""))</f>
        <v/>
      </c>
      <c r="B520">
        <f>IF(A520="","",LOOKUP(A520,Basiszins!$A$5:$A$18,Basiszins!$B$5:$B$18))</f>
        <v/>
      </c>
      <c r="C520">
        <f>IF(A520="","",B520+Rechner!$E$7)</f>
        <v/>
      </c>
      <c r="D520">
        <f>J519</f>
        <v/>
      </c>
      <c r="E520">
        <f>IF(A520="",0,D520*C520/100/(DATE(YEAR(A520)+1,1,1)-DATE(YEAR(A520),1,1)))</f>
        <v/>
      </c>
      <c r="F520">
        <f>IF(A520="",0,SUMIF(Rechner!$A$12:$A$21,A520,Rechner!$B$12:$B$21))</f>
        <v/>
      </c>
      <c r="G520">
        <f>H519+E520</f>
        <v/>
      </c>
      <c r="H520">
        <f>G520-MIN(F520,G520)</f>
        <v/>
      </c>
      <c r="I520">
        <f>MIN(F520-MIN(F520,G520),D520)</f>
        <v/>
      </c>
      <c r="J520">
        <f>D520-I520</f>
        <v/>
      </c>
      <c r="K520">
        <f>F520-MIN(F520,G520)-I520</f>
        <v/>
      </c>
    </row>
    <row r="521">
      <c r="A521" s="21">
        <f>IF(Rechner!$E$4&lt;&gt;"ok","",IF(Rechner!$E$5+519&lt;=Rechner!$B$6,Rechner!$E$5+519,""))</f>
        <v/>
      </c>
      <c r="B521">
        <f>IF(A521="","",LOOKUP(A521,Basiszins!$A$5:$A$18,Basiszins!$B$5:$B$18))</f>
        <v/>
      </c>
      <c r="C521">
        <f>IF(A521="","",B521+Rechner!$E$7)</f>
        <v/>
      </c>
      <c r="D521">
        <f>J520</f>
        <v/>
      </c>
      <c r="E521">
        <f>IF(A521="",0,D521*C521/100/(DATE(YEAR(A521)+1,1,1)-DATE(YEAR(A521),1,1)))</f>
        <v/>
      </c>
      <c r="F521">
        <f>IF(A521="",0,SUMIF(Rechner!$A$12:$A$21,A521,Rechner!$B$12:$B$21))</f>
        <v/>
      </c>
      <c r="G521">
        <f>H520+E521</f>
        <v/>
      </c>
      <c r="H521">
        <f>G521-MIN(F521,G521)</f>
        <v/>
      </c>
      <c r="I521">
        <f>MIN(F521-MIN(F521,G521),D521)</f>
        <v/>
      </c>
      <c r="J521">
        <f>D521-I521</f>
        <v/>
      </c>
      <c r="K521">
        <f>F521-MIN(F521,G521)-I521</f>
        <v/>
      </c>
    </row>
    <row r="522">
      <c r="A522" s="21">
        <f>IF(Rechner!$E$4&lt;&gt;"ok","",IF(Rechner!$E$5+520&lt;=Rechner!$B$6,Rechner!$E$5+520,""))</f>
        <v/>
      </c>
      <c r="B522">
        <f>IF(A522="","",LOOKUP(A522,Basiszins!$A$5:$A$18,Basiszins!$B$5:$B$18))</f>
        <v/>
      </c>
      <c r="C522">
        <f>IF(A522="","",B522+Rechner!$E$7)</f>
        <v/>
      </c>
      <c r="D522">
        <f>J521</f>
        <v/>
      </c>
      <c r="E522">
        <f>IF(A522="",0,D522*C522/100/(DATE(YEAR(A522)+1,1,1)-DATE(YEAR(A522),1,1)))</f>
        <v/>
      </c>
      <c r="F522">
        <f>IF(A522="",0,SUMIF(Rechner!$A$12:$A$21,A522,Rechner!$B$12:$B$21))</f>
        <v/>
      </c>
      <c r="G522">
        <f>H521+E522</f>
        <v/>
      </c>
      <c r="H522">
        <f>G522-MIN(F522,G522)</f>
        <v/>
      </c>
      <c r="I522">
        <f>MIN(F522-MIN(F522,G522),D522)</f>
        <v/>
      </c>
      <c r="J522">
        <f>D522-I522</f>
        <v/>
      </c>
      <c r="K522">
        <f>F522-MIN(F522,G522)-I522</f>
        <v/>
      </c>
    </row>
    <row r="523">
      <c r="A523" s="21">
        <f>IF(Rechner!$E$4&lt;&gt;"ok","",IF(Rechner!$E$5+521&lt;=Rechner!$B$6,Rechner!$E$5+521,""))</f>
        <v/>
      </c>
      <c r="B523">
        <f>IF(A523="","",LOOKUP(A523,Basiszins!$A$5:$A$18,Basiszins!$B$5:$B$18))</f>
        <v/>
      </c>
      <c r="C523">
        <f>IF(A523="","",B523+Rechner!$E$7)</f>
        <v/>
      </c>
      <c r="D523">
        <f>J522</f>
        <v/>
      </c>
      <c r="E523">
        <f>IF(A523="",0,D523*C523/100/(DATE(YEAR(A523)+1,1,1)-DATE(YEAR(A523),1,1)))</f>
        <v/>
      </c>
      <c r="F523">
        <f>IF(A523="",0,SUMIF(Rechner!$A$12:$A$21,A523,Rechner!$B$12:$B$21))</f>
        <v/>
      </c>
      <c r="G523">
        <f>H522+E523</f>
        <v/>
      </c>
      <c r="H523">
        <f>G523-MIN(F523,G523)</f>
        <v/>
      </c>
      <c r="I523">
        <f>MIN(F523-MIN(F523,G523),D523)</f>
        <v/>
      </c>
      <c r="J523">
        <f>D523-I523</f>
        <v/>
      </c>
      <c r="K523">
        <f>F523-MIN(F523,G523)-I523</f>
        <v/>
      </c>
    </row>
    <row r="524">
      <c r="A524" s="21">
        <f>IF(Rechner!$E$4&lt;&gt;"ok","",IF(Rechner!$E$5+522&lt;=Rechner!$B$6,Rechner!$E$5+522,""))</f>
        <v/>
      </c>
      <c r="B524">
        <f>IF(A524="","",LOOKUP(A524,Basiszins!$A$5:$A$18,Basiszins!$B$5:$B$18))</f>
        <v/>
      </c>
      <c r="C524">
        <f>IF(A524="","",B524+Rechner!$E$7)</f>
        <v/>
      </c>
      <c r="D524">
        <f>J523</f>
        <v/>
      </c>
      <c r="E524">
        <f>IF(A524="",0,D524*C524/100/(DATE(YEAR(A524)+1,1,1)-DATE(YEAR(A524),1,1)))</f>
        <v/>
      </c>
      <c r="F524">
        <f>IF(A524="",0,SUMIF(Rechner!$A$12:$A$21,A524,Rechner!$B$12:$B$21))</f>
        <v/>
      </c>
      <c r="G524">
        <f>H523+E524</f>
        <v/>
      </c>
      <c r="H524">
        <f>G524-MIN(F524,G524)</f>
        <v/>
      </c>
      <c r="I524">
        <f>MIN(F524-MIN(F524,G524),D524)</f>
        <v/>
      </c>
      <c r="J524">
        <f>D524-I524</f>
        <v/>
      </c>
      <c r="K524">
        <f>F524-MIN(F524,G524)-I524</f>
        <v/>
      </c>
    </row>
    <row r="525">
      <c r="A525" s="21">
        <f>IF(Rechner!$E$4&lt;&gt;"ok","",IF(Rechner!$E$5+523&lt;=Rechner!$B$6,Rechner!$E$5+523,""))</f>
        <v/>
      </c>
      <c r="B525">
        <f>IF(A525="","",LOOKUP(A525,Basiszins!$A$5:$A$18,Basiszins!$B$5:$B$18))</f>
        <v/>
      </c>
      <c r="C525">
        <f>IF(A525="","",B525+Rechner!$E$7)</f>
        <v/>
      </c>
      <c r="D525">
        <f>J524</f>
        <v/>
      </c>
      <c r="E525">
        <f>IF(A525="",0,D525*C525/100/(DATE(YEAR(A525)+1,1,1)-DATE(YEAR(A525),1,1)))</f>
        <v/>
      </c>
      <c r="F525">
        <f>IF(A525="",0,SUMIF(Rechner!$A$12:$A$21,A525,Rechner!$B$12:$B$21))</f>
        <v/>
      </c>
      <c r="G525">
        <f>H524+E525</f>
        <v/>
      </c>
      <c r="H525">
        <f>G525-MIN(F525,G525)</f>
        <v/>
      </c>
      <c r="I525">
        <f>MIN(F525-MIN(F525,G525),D525)</f>
        <v/>
      </c>
      <c r="J525">
        <f>D525-I525</f>
        <v/>
      </c>
      <c r="K525">
        <f>F525-MIN(F525,G525)-I525</f>
        <v/>
      </c>
    </row>
    <row r="526">
      <c r="A526" s="21">
        <f>IF(Rechner!$E$4&lt;&gt;"ok","",IF(Rechner!$E$5+524&lt;=Rechner!$B$6,Rechner!$E$5+524,""))</f>
        <v/>
      </c>
      <c r="B526">
        <f>IF(A526="","",LOOKUP(A526,Basiszins!$A$5:$A$18,Basiszins!$B$5:$B$18))</f>
        <v/>
      </c>
      <c r="C526">
        <f>IF(A526="","",B526+Rechner!$E$7)</f>
        <v/>
      </c>
      <c r="D526">
        <f>J525</f>
        <v/>
      </c>
      <c r="E526">
        <f>IF(A526="",0,D526*C526/100/(DATE(YEAR(A526)+1,1,1)-DATE(YEAR(A526),1,1)))</f>
        <v/>
      </c>
      <c r="F526">
        <f>IF(A526="",0,SUMIF(Rechner!$A$12:$A$21,A526,Rechner!$B$12:$B$21))</f>
        <v/>
      </c>
      <c r="G526">
        <f>H525+E526</f>
        <v/>
      </c>
      <c r="H526">
        <f>G526-MIN(F526,G526)</f>
        <v/>
      </c>
      <c r="I526">
        <f>MIN(F526-MIN(F526,G526),D526)</f>
        <v/>
      </c>
      <c r="J526">
        <f>D526-I526</f>
        <v/>
      </c>
      <c r="K526">
        <f>F526-MIN(F526,G526)-I526</f>
        <v/>
      </c>
    </row>
    <row r="527">
      <c r="A527" s="21">
        <f>IF(Rechner!$E$4&lt;&gt;"ok","",IF(Rechner!$E$5+525&lt;=Rechner!$B$6,Rechner!$E$5+525,""))</f>
        <v/>
      </c>
      <c r="B527">
        <f>IF(A527="","",LOOKUP(A527,Basiszins!$A$5:$A$18,Basiszins!$B$5:$B$18))</f>
        <v/>
      </c>
      <c r="C527">
        <f>IF(A527="","",B527+Rechner!$E$7)</f>
        <v/>
      </c>
      <c r="D527">
        <f>J526</f>
        <v/>
      </c>
      <c r="E527">
        <f>IF(A527="",0,D527*C527/100/(DATE(YEAR(A527)+1,1,1)-DATE(YEAR(A527),1,1)))</f>
        <v/>
      </c>
      <c r="F527">
        <f>IF(A527="",0,SUMIF(Rechner!$A$12:$A$21,A527,Rechner!$B$12:$B$21))</f>
        <v/>
      </c>
      <c r="G527">
        <f>H526+E527</f>
        <v/>
      </c>
      <c r="H527">
        <f>G527-MIN(F527,G527)</f>
        <v/>
      </c>
      <c r="I527">
        <f>MIN(F527-MIN(F527,G527),D527)</f>
        <v/>
      </c>
      <c r="J527">
        <f>D527-I527</f>
        <v/>
      </c>
      <c r="K527">
        <f>F527-MIN(F527,G527)-I527</f>
        <v/>
      </c>
    </row>
    <row r="528">
      <c r="A528" s="21">
        <f>IF(Rechner!$E$4&lt;&gt;"ok","",IF(Rechner!$E$5+526&lt;=Rechner!$B$6,Rechner!$E$5+526,""))</f>
        <v/>
      </c>
      <c r="B528">
        <f>IF(A528="","",LOOKUP(A528,Basiszins!$A$5:$A$18,Basiszins!$B$5:$B$18))</f>
        <v/>
      </c>
      <c r="C528">
        <f>IF(A528="","",B528+Rechner!$E$7)</f>
        <v/>
      </c>
      <c r="D528">
        <f>J527</f>
        <v/>
      </c>
      <c r="E528">
        <f>IF(A528="",0,D528*C528/100/(DATE(YEAR(A528)+1,1,1)-DATE(YEAR(A528),1,1)))</f>
        <v/>
      </c>
      <c r="F528">
        <f>IF(A528="",0,SUMIF(Rechner!$A$12:$A$21,A528,Rechner!$B$12:$B$21))</f>
        <v/>
      </c>
      <c r="G528">
        <f>H527+E528</f>
        <v/>
      </c>
      <c r="H528">
        <f>G528-MIN(F528,G528)</f>
        <v/>
      </c>
      <c r="I528">
        <f>MIN(F528-MIN(F528,G528),D528)</f>
        <v/>
      </c>
      <c r="J528">
        <f>D528-I528</f>
        <v/>
      </c>
      <c r="K528">
        <f>F528-MIN(F528,G528)-I528</f>
        <v/>
      </c>
    </row>
    <row r="529">
      <c r="A529" s="21">
        <f>IF(Rechner!$E$4&lt;&gt;"ok","",IF(Rechner!$E$5+527&lt;=Rechner!$B$6,Rechner!$E$5+527,""))</f>
        <v/>
      </c>
      <c r="B529">
        <f>IF(A529="","",LOOKUP(A529,Basiszins!$A$5:$A$18,Basiszins!$B$5:$B$18))</f>
        <v/>
      </c>
      <c r="C529">
        <f>IF(A529="","",B529+Rechner!$E$7)</f>
        <v/>
      </c>
      <c r="D529">
        <f>J528</f>
        <v/>
      </c>
      <c r="E529">
        <f>IF(A529="",0,D529*C529/100/(DATE(YEAR(A529)+1,1,1)-DATE(YEAR(A529),1,1)))</f>
        <v/>
      </c>
      <c r="F529">
        <f>IF(A529="",0,SUMIF(Rechner!$A$12:$A$21,A529,Rechner!$B$12:$B$21))</f>
        <v/>
      </c>
      <c r="G529">
        <f>H528+E529</f>
        <v/>
      </c>
      <c r="H529">
        <f>G529-MIN(F529,G529)</f>
        <v/>
      </c>
      <c r="I529">
        <f>MIN(F529-MIN(F529,G529),D529)</f>
        <v/>
      </c>
      <c r="J529">
        <f>D529-I529</f>
        <v/>
      </c>
      <c r="K529">
        <f>F529-MIN(F529,G529)-I529</f>
        <v/>
      </c>
    </row>
    <row r="530">
      <c r="A530" s="21">
        <f>IF(Rechner!$E$4&lt;&gt;"ok","",IF(Rechner!$E$5+528&lt;=Rechner!$B$6,Rechner!$E$5+528,""))</f>
        <v/>
      </c>
      <c r="B530">
        <f>IF(A530="","",LOOKUP(A530,Basiszins!$A$5:$A$18,Basiszins!$B$5:$B$18))</f>
        <v/>
      </c>
      <c r="C530">
        <f>IF(A530="","",B530+Rechner!$E$7)</f>
        <v/>
      </c>
      <c r="D530">
        <f>J529</f>
        <v/>
      </c>
      <c r="E530">
        <f>IF(A530="",0,D530*C530/100/(DATE(YEAR(A530)+1,1,1)-DATE(YEAR(A530),1,1)))</f>
        <v/>
      </c>
      <c r="F530">
        <f>IF(A530="",0,SUMIF(Rechner!$A$12:$A$21,A530,Rechner!$B$12:$B$21))</f>
        <v/>
      </c>
      <c r="G530">
        <f>H529+E530</f>
        <v/>
      </c>
      <c r="H530">
        <f>G530-MIN(F530,G530)</f>
        <v/>
      </c>
      <c r="I530">
        <f>MIN(F530-MIN(F530,G530),D530)</f>
        <v/>
      </c>
      <c r="J530">
        <f>D530-I530</f>
        <v/>
      </c>
      <c r="K530">
        <f>F530-MIN(F530,G530)-I530</f>
        <v/>
      </c>
    </row>
    <row r="531">
      <c r="A531" s="21">
        <f>IF(Rechner!$E$4&lt;&gt;"ok","",IF(Rechner!$E$5+529&lt;=Rechner!$B$6,Rechner!$E$5+529,""))</f>
        <v/>
      </c>
      <c r="B531">
        <f>IF(A531="","",LOOKUP(A531,Basiszins!$A$5:$A$18,Basiszins!$B$5:$B$18))</f>
        <v/>
      </c>
      <c r="C531">
        <f>IF(A531="","",B531+Rechner!$E$7)</f>
        <v/>
      </c>
      <c r="D531">
        <f>J530</f>
        <v/>
      </c>
      <c r="E531">
        <f>IF(A531="",0,D531*C531/100/(DATE(YEAR(A531)+1,1,1)-DATE(YEAR(A531),1,1)))</f>
        <v/>
      </c>
      <c r="F531">
        <f>IF(A531="",0,SUMIF(Rechner!$A$12:$A$21,A531,Rechner!$B$12:$B$21))</f>
        <v/>
      </c>
      <c r="G531">
        <f>H530+E531</f>
        <v/>
      </c>
      <c r="H531">
        <f>G531-MIN(F531,G531)</f>
        <v/>
      </c>
      <c r="I531">
        <f>MIN(F531-MIN(F531,G531),D531)</f>
        <v/>
      </c>
      <c r="J531">
        <f>D531-I531</f>
        <v/>
      </c>
      <c r="K531">
        <f>F531-MIN(F531,G531)-I531</f>
        <v/>
      </c>
    </row>
    <row r="532">
      <c r="A532" s="21">
        <f>IF(Rechner!$E$4&lt;&gt;"ok","",IF(Rechner!$E$5+530&lt;=Rechner!$B$6,Rechner!$E$5+530,""))</f>
        <v/>
      </c>
      <c r="B532">
        <f>IF(A532="","",LOOKUP(A532,Basiszins!$A$5:$A$18,Basiszins!$B$5:$B$18))</f>
        <v/>
      </c>
      <c r="C532">
        <f>IF(A532="","",B532+Rechner!$E$7)</f>
        <v/>
      </c>
      <c r="D532">
        <f>J531</f>
        <v/>
      </c>
      <c r="E532">
        <f>IF(A532="",0,D532*C532/100/(DATE(YEAR(A532)+1,1,1)-DATE(YEAR(A532),1,1)))</f>
        <v/>
      </c>
      <c r="F532">
        <f>IF(A532="",0,SUMIF(Rechner!$A$12:$A$21,A532,Rechner!$B$12:$B$21))</f>
        <v/>
      </c>
      <c r="G532">
        <f>H531+E532</f>
        <v/>
      </c>
      <c r="H532">
        <f>G532-MIN(F532,G532)</f>
        <v/>
      </c>
      <c r="I532">
        <f>MIN(F532-MIN(F532,G532),D532)</f>
        <v/>
      </c>
      <c r="J532">
        <f>D532-I532</f>
        <v/>
      </c>
      <c r="K532">
        <f>F532-MIN(F532,G532)-I532</f>
        <v/>
      </c>
    </row>
    <row r="533">
      <c r="A533" s="21">
        <f>IF(Rechner!$E$4&lt;&gt;"ok","",IF(Rechner!$E$5+531&lt;=Rechner!$B$6,Rechner!$E$5+531,""))</f>
        <v/>
      </c>
      <c r="B533">
        <f>IF(A533="","",LOOKUP(A533,Basiszins!$A$5:$A$18,Basiszins!$B$5:$B$18))</f>
        <v/>
      </c>
      <c r="C533">
        <f>IF(A533="","",B533+Rechner!$E$7)</f>
        <v/>
      </c>
      <c r="D533">
        <f>J532</f>
        <v/>
      </c>
      <c r="E533">
        <f>IF(A533="",0,D533*C533/100/(DATE(YEAR(A533)+1,1,1)-DATE(YEAR(A533),1,1)))</f>
        <v/>
      </c>
      <c r="F533">
        <f>IF(A533="",0,SUMIF(Rechner!$A$12:$A$21,A533,Rechner!$B$12:$B$21))</f>
        <v/>
      </c>
      <c r="G533">
        <f>H532+E533</f>
        <v/>
      </c>
      <c r="H533">
        <f>G533-MIN(F533,G533)</f>
        <v/>
      </c>
      <c r="I533">
        <f>MIN(F533-MIN(F533,G533),D533)</f>
        <v/>
      </c>
      <c r="J533">
        <f>D533-I533</f>
        <v/>
      </c>
      <c r="K533">
        <f>F533-MIN(F533,G533)-I533</f>
        <v/>
      </c>
    </row>
    <row r="534">
      <c r="A534" s="21">
        <f>IF(Rechner!$E$4&lt;&gt;"ok","",IF(Rechner!$E$5+532&lt;=Rechner!$B$6,Rechner!$E$5+532,""))</f>
        <v/>
      </c>
      <c r="B534">
        <f>IF(A534="","",LOOKUP(A534,Basiszins!$A$5:$A$18,Basiszins!$B$5:$B$18))</f>
        <v/>
      </c>
      <c r="C534">
        <f>IF(A534="","",B534+Rechner!$E$7)</f>
        <v/>
      </c>
      <c r="D534">
        <f>J533</f>
        <v/>
      </c>
      <c r="E534">
        <f>IF(A534="",0,D534*C534/100/(DATE(YEAR(A534)+1,1,1)-DATE(YEAR(A534),1,1)))</f>
        <v/>
      </c>
      <c r="F534">
        <f>IF(A534="",0,SUMIF(Rechner!$A$12:$A$21,A534,Rechner!$B$12:$B$21))</f>
        <v/>
      </c>
      <c r="G534">
        <f>H533+E534</f>
        <v/>
      </c>
      <c r="H534">
        <f>G534-MIN(F534,G534)</f>
        <v/>
      </c>
      <c r="I534">
        <f>MIN(F534-MIN(F534,G534),D534)</f>
        <v/>
      </c>
      <c r="J534">
        <f>D534-I534</f>
        <v/>
      </c>
      <c r="K534">
        <f>F534-MIN(F534,G534)-I534</f>
        <v/>
      </c>
    </row>
    <row r="535">
      <c r="A535" s="21">
        <f>IF(Rechner!$E$4&lt;&gt;"ok","",IF(Rechner!$E$5+533&lt;=Rechner!$B$6,Rechner!$E$5+533,""))</f>
        <v/>
      </c>
      <c r="B535">
        <f>IF(A535="","",LOOKUP(A535,Basiszins!$A$5:$A$18,Basiszins!$B$5:$B$18))</f>
        <v/>
      </c>
      <c r="C535">
        <f>IF(A535="","",B535+Rechner!$E$7)</f>
        <v/>
      </c>
      <c r="D535">
        <f>J534</f>
        <v/>
      </c>
      <c r="E535">
        <f>IF(A535="",0,D535*C535/100/(DATE(YEAR(A535)+1,1,1)-DATE(YEAR(A535),1,1)))</f>
        <v/>
      </c>
      <c r="F535">
        <f>IF(A535="",0,SUMIF(Rechner!$A$12:$A$21,A535,Rechner!$B$12:$B$21))</f>
        <v/>
      </c>
      <c r="G535">
        <f>H534+E535</f>
        <v/>
      </c>
      <c r="H535">
        <f>G535-MIN(F535,G535)</f>
        <v/>
      </c>
      <c r="I535">
        <f>MIN(F535-MIN(F535,G535),D535)</f>
        <v/>
      </c>
      <c r="J535">
        <f>D535-I535</f>
        <v/>
      </c>
      <c r="K535">
        <f>F535-MIN(F535,G535)-I535</f>
        <v/>
      </c>
    </row>
    <row r="536">
      <c r="A536" s="21">
        <f>IF(Rechner!$E$4&lt;&gt;"ok","",IF(Rechner!$E$5+534&lt;=Rechner!$B$6,Rechner!$E$5+534,""))</f>
        <v/>
      </c>
      <c r="B536">
        <f>IF(A536="","",LOOKUP(A536,Basiszins!$A$5:$A$18,Basiszins!$B$5:$B$18))</f>
        <v/>
      </c>
      <c r="C536">
        <f>IF(A536="","",B536+Rechner!$E$7)</f>
        <v/>
      </c>
      <c r="D536">
        <f>J535</f>
        <v/>
      </c>
      <c r="E536">
        <f>IF(A536="",0,D536*C536/100/(DATE(YEAR(A536)+1,1,1)-DATE(YEAR(A536),1,1)))</f>
        <v/>
      </c>
      <c r="F536">
        <f>IF(A536="",0,SUMIF(Rechner!$A$12:$A$21,A536,Rechner!$B$12:$B$21))</f>
        <v/>
      </c>
      <c r="G536">
        <f>H535+E536</f>
        <v/>
      </c>
      <c r="H536">
        <f>G536-MIN(F536,G536)</f>
        <v/>
      </c>
      <c r="I536">
        <f>MIN(F536-MIN(F536,G536),D536)</f>
        <v/>
      </c>
      <c r="J536">
        <f>D536-I536</f>
        <v/>
      </c>
      <c r="K536">
        <f>F536-MIN(F536,G536)-I536</f>
        <v/>
      </c>
    </row>
    <row r="537">
      <c r="A537" s="21">
        <f>IF(Rechner!$E$4&lt;&gt;"ok","",IF(Rechner!$E$5+535&lt;=Rechner!$B$6,Rechner!$E$5+535,""))</f>
        <v/>
      </c>
      <c r="B537">
        <f>IF(A537="","",LOOKUP(A537,Basiszins!$A$5:$A$18,Basiszins!$B$5:$B$18))</f>
        <v/>
      </c>
      <c r="C537">
        <f>IF(A537="","",B537+Rechner!$E$7)</f>
        <v/>
      </c>
      <c r="D537">
        <f>J536</f>
        <v/>
      </c>
      <c r="E537">
        <f>IF(A537="",0,D537*C537/100/(DATE(YEAR(A537)+1,1,1)-DATE(YEAR(A537),1,1)))</f>
        <v/>
      </c>
      <c r="F537">
        <f>IF(A537="",0,SUMIF(Rechner!$A$12:$A$21,A537,Rechner!$B$12:$B$21))</f>
        <v/>
      </c>
      <c r="G537">
        <f>H536+E537</f>
        <v/>
      </c>
      <c r="H537">
        <f>G537-MIN(F537,G537)</f>
        <v/>
      </c>
      <c r="I537">
        <f>MIN(F537-MIN(F537,G537),D537)</f>
        <v/>
      </c>
      <c r="J537">
        <f>D537-I537</f>
        <v/>
      </c>
      <c r="K537">
        <f>F537-MIN(F537,G537)-I537</f>
        <v/>
      </c>
    </row>
    <row r="538">
      <c r="A538" s="21">
        <f>IF(Rechner!$E$4&lt;&gt;"ok","",IF(Rechner!$E$5+536&lt;=Rechner!$B$6,Rechner!$E$5+536,""))</f>
        <v/>
      </c>
      <c r="B538">
        <f>IF(A538="","",LOOKUP(A538,Basiszins!$A$5:$A$18,Basiszins!$B$5:$B$18))</f>
        <v/>
      </c>
      <c r="C538">
        <f>IF(A538="","",B538+Rechner!$E$7)</f>
        <v/>
      </c>
      <c r="D538">
        <f>J537</f>
        <v/>
      </c>
      <c r="E538">
        <f>IF(A538="",0,D538*C538/100/(DATE(YEAR(A538)+1,1,1)-DATE(YEAR(A538),1,1)))</f>
        <v/>
      </c>
      <c r="F538">
        <f>IF(A538="",0,SUMIF(Rechner!$A$12:$A$21,A538,Rechner!$B$12:$B$21))</f>
        <v/>
      </c>
      <c r="G538">
        <f>H537+E538</f>
        <v/>
      </c>
      <c r="H538">
        <f>G538-MIN(F538,G538)</f>
        <v/>
      </c>
      <c r="I538">
        <f>MIN(F538-MIN(F538,G538),D538)</f>
        <v/>
      </c>
      <c r="J538">
        <f>D538-I538</f>
        <v/>
      </c>
      <c r="K538">
        <f>F538-MIN(F538,G538)-I538</f>
        <v/>
      </c>
    </row>
    <row r="539">
      <c r="A539" s="21">
        <f>IF(Rechner!$E$4&lt;&gt;"ok","",IF(Rechner!$E$5+537&lt;=Rechner!$B$6,Rechner!$E$5+537,""))</f>
        <v/>
      </c>
      <c r="B539">
        <f>IF(A539="","",LOOKUP(A539,Basiszins!$A$5:$A$18,Basiszins!$B$5:$B$18))</f>
        <v/>
      </c>
      <c r="C539">
        <f>IF(A539="","",B539+Rechner!$E$7)</f>
        <v/>
      </c>
      <c r="D539">
        <f>J538</f>
        <v/>
      </c>
      <c r="E539">
        <f>IF(A539="",0,D539*C539/100/(DATE(YEAR(A539)+1,1,1)-DATE(YEAR(A539),1,1)))</f>
        <v/>
      </c>
      <c r="F539">
        <f>IF(A539="",0,SUMIF(Rechner!$A$12:$A$21,A539,Rechner!$B$12:$B$21))</f>
        <v/>
      </c>
      <c r="G539">
        <f>H538+E539</f>
        <v/>
      </c>
      <c r="H539">
        <f>G539-MIN(F539,G539)</f>
        <v/>
      </c>
      <c r="I539">
        <f>MIN(F539-MIN(F539,G539),D539)</f>
        <v/>
      </c>
      <c r="J539">
        <f>D539-I539</f>
        <v/>
      </c>
      <c r="K539">
        <f>F539-MIN(F539,G539)-I539</f>
        <v/>
      </c>
    </row>
    <row r="540">
      <c r="A540" s="21">
        <f>IF(Rechner!$E$4&lt;&gt;"ok","",IF(Rechner!$E$5+538&lt;=Rechner!$B$6,Rechner!$E$5+538,""))</f>
        <v/>
      </c>
      <c r="B540">
        <f>IF(A540="","",LOOKUP(A540,Basiszins!$A$5:$A$18,Basiszins!$B$5:$B$18))</f>
        <v/>
      </c>
      <c r="C540">
        <f>IF(A540="","",B540+Rechner!$E$7)</f>
        <v/>
      </c>
      <c r="D540">
        <f>J539</f>
        <v/>
      </c>
      <c r="E540">
        <f>IF(A540="",0,D540*C540/100/(DATE(YEAR(A540)+1,1,1)-DATE(YEAR(A540),1,1)))</f>
        <v/>
      </c>
      <c r="F540">
        <f>IF(A540="",0,SUMIF(Rechner!$A$12:$A$21,A540,Rechner!$B$12:$B$21))</f>
        <v/>
      </c>
      <c r="G540">
        <f>H539+E540</f>
        <v/>
      </c>
      <c r="H540">
        <f>G540-MIN(F540,G540)</f>
        <v/>
      </c>
      <c r="I540">
        <f>MIN(F540-MIN(F540,G540),D540)</f>
        <v/>
      </c>
      <c r="J540">
        <f>D540-I540</f>
        <v/>
      </c>
      <c r="K540">
        <f>F540-MIN(F540,G540)-I540</f>
        <v/>
      </c>
    </row>
    <row r="541">
      <c r="A541" s="21">
        <f>IF(Rechner!$E$4&lt;&gt;"ok","",IF(Rechner!$E$5+539&lt;=Rechner!$B$6,Rechner!$E$5+539,""))</f>
        <v/>
      </c>
      <c r="B541">
        <f>IF(A541="","",LOOKUP(A541,Basiszins!$A$5:$A$18,Basiszins!$B$5:$B$18))</f>
        <v/>
      </c>
      <c r="C541">
        <f>IF(A541="","",B541+Rechner!$E$7)</f>
        <v/>
      </c>
      <c r="D541">
        <f>J540</f>
        <v/>
      </c>
      <c r="E541">
        <f>IF(A541="",0,D541*C541/100/(DATE(YEAR(A541)+1,1,1)-DATE(YEAR(A541),1,1)))</f>
        <v/>
      </c>
      <c r="F541">
        <f>IF(A541="",0,SUMIF(Rechner!$A$12:$A$21,A541,Rechner!$B$12:$B$21))</f>
        <v/>
      </c>
      <c r="G541">
        <f>H540+E541</f>
        <v/>
      </c>
      <c r="H541">
        <f>G541-MIN(F541,G541)</f>
        <v/>
      </c>
      <c r="I541">
        <f>MIN(F541-MIN(F541,G541),D541)</f>
        <v/>
      </c>
      <c r="J541">
        <f>D541-I541</f>
        <v/>
      </c>
      <c r="K541">
        <f>F541-MIN(F541,G541)-I541</f>
        <v/>
      </c>
    </row>
    <row r="542">
      <c r="A542" s="21">
        <f>IF(Rechner!$E$4&lt;&gt;"ok","",IF(Rechner!$E$5+540&lt;=Rechner!$B$6,Rechner!$E$5+540,""))</f>
        <v/>
      </c>
      <c r="B542">
        <f>IF(A542="","",LOOKUP(A542,Basiszins!$A$5:$A$18,Basiszins!$B$5:$B$18))</f>
        <v/>
      </c>
      <c r="C542">
        <f>IF(A542="","",B542+Rechner!$E$7)</f>
        <v/>
      </c>
      <c r="D542">
        <f>J541</f>
        <v/>
      </c>
      <c r="E542">
        <f>IF(A542="",0,D542*C542/100/(DATE(YEAR(A542)+1,1,1)-DATE(YEAR(A542),1,1)))</f>
        <v/>
      </c>
      <c r="F542">
        <f>IF(A542="",0,SUMIF(Rechner!$A$12:$A$21,A542,Rechner!$B$12:$B$21))</f>
        <v/>
      </c>
      <c r="G542">
        <f>H541+E542</f>
        <v/>
      </c>
      <c r="H542">
        <f>G542-MIN(F542,G542)</f>
        <v/>
      </c>
      <c r="I542">
        <f>MIN(F542-MIN(F542,G542),D542)</f>
        <v/>
      </c>
      <c r="J542">
        <f>D542-I542</f>
        <v/>
      </c>
      <c r="K542">
        <f>F542-MIN(F542,G542)-I542</f>
        <v/>
      </c>
    </row>
    <row r="543">
      <c r="A543" s="21">
        <f>IF(Rechner!$E$4&lt;&gt;"ok","",IF(Rechner!$E$5+541&lt;=Rechner!$B$6,Rechner!$E$5+541,""))</f>
        <v/>
      </c>
      <c r="B543">
        <f>IF(A543="","",LOOKUP(A543,Basiszins!$A$5:$A$18,Basiszins!$B$5:$B$18))</f>
        <v/>
      </c>
      <c r="C543">
        <f>IF(A543="","",B543+Rechner!$E$7)</f>
        <v/>
      </c>
      <c r="D543">
        <f>J542</f>
        <v/>
      </c>
      <c r="E543">
        <f>IF(A543="",0,D543*C543/100/(DATE(YEAR(A543)+1,1,1)-DATE(YEAR(A543),1,1)))</f>
        <v/>
      </c>
      <c r="F543">
        <f>IF(A543="",0,SUMIF(Rechner!$A$12:$A$21,A543,Rechner!$B$12:$B$21))</f>
        <v/>
      </c>
      <c r="G543">
        <f>H542+E543</f>
        <v/>
      </c>
      <c r="H543">
        <f>G543-MIN(F543,G543)</f>
        <v/>
      </c>
      <c r="I543">
        <f>MIN(F543-MIN(F543,G543),D543)</f>
        <v/>
      </c>
      <c r="J543">
        <f>D543-I543</f>
        <v/>
      </c>
      <c r="K543">
        <f>F543-MIN(F543,G543)-I543</f>
        <v/>
      </c>
    </row>
    <row r="544">
      <c r="A544" s="21">
        <f>IF(Rechner!$E$4&lt;&gt;"ok","",IF(Rechner!$E$5+542&lt;=Rechner!$B$6,Rechner!$E$5+542,""))</f>
        <v/>
      </c>
      <c r="B544">
        <f>IF(A544="","",LOOKUP(A544,Basiszins!$A$5:$A$18,Basiszins!$B$5:$B$18))</f>
        <v/>
      </c>
      <c r="C544">
        <f>IF(A544="","",B544+Rechner!$E$7)</f>
        <v/>
      </c>
      <c r="D544">
        <f>J543</f>
        <v/>
      </c>
      <c r="E544">
        <f>IF(A544="",0,D544*C544/100/(DATE(YEAR(A544)+1,1,1)-DATE(YEAR(A544),1,1)))</f>
        <v/>
      </c>
      <c r="F544">
        <f>IF(A544="",0,SUMIF(Rechner!$A$12:$A$21,A544,Rechner!$B$12:$B$21))</f>
        <v/>
      </c>
      <c r="G544">
        <f>H543+E544</f>
        <v/>
      </c>
      <c r="H544">
        <f>G544-MIN(F544,G544)</f>
        <v/>
      </c>
      <c r="I544">
        <f>MIN(F544-MIN(F544,G544),D544)</f>
        <v/>
      </c>
      <c r="J544">
        <f>D544-I544</f>
        <v/>
      </c>
      <c r="K544">
        <f>F544-MIN(F544,G544)-I544</f>
        <v/>
      </c>
    </row>
    <row r="545">
      <c r="A545" s="21">
        <f>IF(Rechner!$E$4&lt;&gt;"ok","",IF(Rechner!$E$5+543&lt;=Rechner!$B$6,Rechner!$E$5+543,""))</f>
        <v/>
      </c>
      <c r="B545">
        <f>IF(A545="","",LOOKUP(A545,Basiszins!$A$5:$A$18,Basiszins!$B$5:$B$18))</f>
        <v/>
      </c>
      <c r="C545">
        <f>IF(A545="","",B545+Rechner!$E$7)</f>
        <v/>
      </c>
      <c r="D545">
        <f>J544</f>
        <v/>
      </c>
      <c r="E545">
        <f>IF(A545="",0,D545*C545/100/(DATE(YEAR(A545)+1,1,1)-DATE(YEAR(A545),1,1)))</f>
        <v/>
      </c>
      <c r="F545">
        <f>IF(A545="",0,SUMIF(Rechner!$A$12:$A$21,A545,Rechner!$B$12:$B$21))</f>
        <v/>
      </c>
      <c r="G545">
        <f>H544+E545</f>
        <v/>
      </c>
      <c r="H545">
        <f>G545-MIN(F545,G545)</f>
        <v/>
      </c>
      <c r="I545">
        <f>MIN(F545-MIN(F545,G545),D545)</f>
        <v/>
      </c>
      <c r="J545">
        <f>D545-I545</f>
        <v/>
      </c>
      <c r="K545">
        <f>F545-MIN(F545,G545)-I545</f>
        <v/>
      </c>
    </row>
    <row r="546">
      <c r="A546" s="21">
        <f>IF(Rechner!$E$4&lt;&gt;"ok","",IF(Rechner!$E$5+544&lt;=Rechner!$B$6,Rechner!$E$5+544,""))</f>
        <v/>
      </c>
      <c r="B546">
        <f>IF(A546="","",LOOKUP(A546,Basiszins!$A$5:$A$18,Basiszins!$B$5:$B$18))</f>
        <v/>
      </c>
      <c r="C546">
        <f>IF(A546="","",B546+Rechner!$E$7)</f>
        <v/>
      </c>
      <c r="D546">
        <f>J545</f>
        <v/>
      </c>
      <c r="E546">
        <f>IF(A546="",0,D546*C546/100/(DATE(YEAR(A546)+1,1,1)-DATE(YEAR(A546),1,1)))</f>
        <v/>
      </c>
      <c r="F546">
        <f>IF(A546="",0,SUMIF(Rechner!$A$12:$A$21,A546,Rechner!$B$12:$B$21))</f>
        <v/>
      </c>
      <c r="G546">
        <f>H545+E546</f>
        <v/>
      </c>
      <c r="H546">
        <f>G546-MIN(F546,G546)</f>
        <v/>
      </c>
      <c r="I546">
        <f>MIN(F546-MIN(F546,G546),D546)</f>
        <v/>
      </c>
      <c r="J546">
        <f>D546-I546</f>
        <v/>
      </c>
      <c r="K546">
        <f>F546-MIN(F546,G546)-I546</f>
        <v/>
      </c>
    </row>
    <row r="547">
      <c r="A547" s="21">
        <f>IF(Rechner!$E$4&lt;&gt;"ok","",IF(Rechner!$E$5+545&lt;=Rechner!$B$6,Rechner!$E$5+545,""))</f>
        <v/>
      </c>
      <c r="B547">
        <f>IF(A547="","",LOOKUP(A547,Basiszins!$A$5:$A$18,Basiszins!$B$5:$B$18))</f>
        <v/>
      </c>
      <c r="C547">
        <f>IF(A547="","",B547+Rechner!$E$7)</f>
        <v/>
      </c>
      <c r="D547">
        <f>J546</f>
        <v/>
      </c>
      <c r="E547">
        <f>IF(A547="",0,D547*C547/100/(DATE(YEAR(A547)+1,1,1)-DATE(YEAR(A547),1,1)))</f>
        <v/>
      </c>
      <c r="F547">
        <f>IF(A547="",0,SUMIF(Rechner!$A$12:$A$21,A547,Rechner!$B$12:$B$21))</f>
        <v/>
      </c>
      <c r="G547">
        <f>H546+E547</f>
        <v/>
      </c>
      <c r="H547">
        <f>G547-MIN(F547,G547)</f>
        <v/>
      </c>
      <c r="I547">
        <f>MIN(F547-MIN(F547,G547),D547)</f>
        <v/>
      </c>
      <c r="J547">
        <f>D547-I547</f>
        <v/>
      </c>
      <c r="K547">
        <f>F547-MIN(F547,G547)-I547</f>
        <v/>
      </c>
    </row>
    <row r="548">
      <c r="A548" s="21">
        <f>IF(Rechner!$E$4&lt;&gt;"ok","",IF(Rechner!$E$5+546&lt;=Rechner!$B$6,Rechner!$E$5+546,""))</f>
        <v/>
      </c>
      <c r="B548">
        <f>IF(A548="","",LOOKUP(A548,Basiszins!$A$5:$A$18,Basiszins!$B$5:$B$18))</f>
        <v/>
      </c>
      <c r="C548">
        <f>IF(A548="","",B548+Rechner!$E$7)</f>
        <v/>
      </c>
      <c r="D548">
        <f>J547</f>
        <v/>
      </c>
      <c r="E548">
        <f>IF(A548="",0,D548*C548/100/(DATE(YEAR(A548)+1,1,1)-DATE(YEAR(A548),1,1)))</f>
        <v/>
      </c>
      <c r="F548">
        <f>IF(A548="",0,SUMIF(Rechner!$A$12:$A$21,A548,Rechner!$B$12:$B$21))</f>
        <v/>
      </c>
      <c r="G548">
        <f>H547+E548</f>
        <v/>
      </c>
      <c r="H548">
        <f>G548-MIN(F548,G548)</f>
        <v/>
      </c>
      <c r="I548">
        <f>MIN(F548-MIN(F548,G548),D548)</f>
        <v/>
      </c>
      <c r="J548">
        <f>D548-I548</f>
        <v/>
      </c>
      <c r="K548">
        <f>F548-MIN(F548,G548)-I548</f>
        <v/>
      </c>
    </row>
    <row r="549">
      <c r="A549" s="21">
        <f>IF(Rechner!$E$4&lt;&gt;"ok","",IF(Rechner!$E$5+547&lt;=Rechner!$B$6,Rechner!$E$5+547,""))</f>
        <v/>
      </c>
      <c r="B549">
        <f>IF(A549="","",LOOKUP(A549,Basiszins!$A$5:$A$18,Basiszins!$B$5:$B$18))</f>
        <v/>
      </c>
      <c r="C549">
        <f>IF(A549="","",B549+Rechner!$E$7)</f>
        <v/>
      </c>
      <c r="D549">
        <f>J548</f>
        <v/>
      </c>
      <c r="E549">
        <f>IF(A549="",0,D549*C549/100/(DATE(YEAR(A549)+1,1,1)-DATE(YEAR(A549),1,1)))</f>
        <v/>
      </c>
      <c r="F549">
        <f>IF(A549="",0,SUMIF(Rechner!$A$12:$A$21,A549,Rechner!$B$12:$B$21))</f>
        <v/>
      </c>
      <c r="G549">
        <f>H548+E549</f>
        <v/>
      </c>
      <c r="H549">
        <f>G549-MIN(F549,G549)</f>
        <v/>
      </c>
      <c r="I549">
        <f>MIN(F549-MIN(F549,G549),D549)</f>
        <v/>
      </c>
      <c r="J549">
        <f>D549-I549</f>
        <v/>
      </c>
      <c r="K549">
        <f>F549-MIN(F549,G549)-I549</f>
        <v/>
      </c>
    </row>
    <row r="550">
      <c r="A550" s="21">
        <f>IF(Rechner!$E$4&lt;&gt;"ok","",IF(Rechner!$E$5+548&lt;=Rechner!$B$6,Rechner!$E$5+548,""))</f>
        <v/>
      </c>
      <c r="B550">
        <f>IF(A550="","",LOOKUP(A550,Basiszins!$A$5:$A$18,Basiszins!$B$5:$B$18))</f>
        <v/>
      </c>
      <c r="C550">
        <f>IF(A550="","",B550+Rechner!$E$7)</f>
        <v/>
      </c>
      <c r="D550">
        <f>J549</f>
        <v/>
      </c>
      <c r="E550">
        <f>IF(A550="",0,D550*C550/100/(DATE(YEAR(A550)+1,1,1)-DATE(YEAR(A550),1,1)))</f>
        <v/>
      </c>
      <c r="F550">
        <f>IF(A550="",0,SUMIF(Rechner!$A$12:$A$21,A550,Rechner!$B$12:$B$21))</f>
        <v/>
      </c>
      <c r="G550">
        <f>H549+E550</f>
        <v/>
      </c>
      <c r="H550">
        <f>G550-MIN(F550,G550)</f>
        <v/>
      </c>
      <c r="I550">
        <f>MIN(F550-MIN(F550,G550),D550)</f>
        <v/>
      </c>
      <c r="J550">
        <f>D550-I550</f>
        <v/>
      </c>
      <c r="K550">
        <f>F550-MIN(F550,G550)-I550</f>
        <v/>
      </c>
    </row>
    <row r="551">
      <c r="A551" s="21">
        <f>IF(Rechner!$E$4&lt;&gt;"ok","",IF(Rechner!$E$5+549&lt;=Rechner!$B$6,Rechner!$E$5+549,""))</f>
        <v/>
      </c>
      <c r="B551">
        <f>IF(A551="","",LOOKUP(A551,Basiszins!$A$5:$A$18,Basiszins!$B$5:$B$18))</f>
        <v/>
      </c>
      <c r="C551">
        <f>IF(A551="","",B551+Rechner!$E$7)</f>
        <v/>
      </c>
      <c r="D551">
        <f>J550</f>
        <v/>
      </c>
      <c r="E551">
        <f>IF(A551="",0,D551*C551/100/(DATE(YEAR(A551)+1,1,1)-DATE(YEAR(A551),1,1)))</f>
        <v/>
      </c>
      <c r="F551">
        <f>IF(A551="",0,SUMIF(Rechner!$A$12:$A$21,A551,Rechner!$B$12:$B$21))</f>
        <v/>
      </c>
      <c r="G551">
        <f>H550+E551</f>
        <v/>
      </c>
      <c r="H551">
        <f>G551-MIN(F551,G551)</f>
        <v/>
      </c>
      <c r="I551">
        <f>MIN(F551-MIN(F551,G551),D551)</f>
        <v/>
      </c>
      <c r="J551">
        <f>D551-I551</f>
        <v/>
      </c>
      <c r="K551">
        <f>F551-MIN(F551,G551)-I551</f>
        <v/>
      </c>
    </row>
    <row r="552">
      <c r="A552" s="21">
        <f>IF(Rechner!$E$4&lt;&gt;"ok","",IF(Rechner!$E$5+550&lt;=Rechner!$B$6,Rechner!$E$5+550,""))</f>
        <v/>
      </c>
      <c r="B552">
        <f>IF(A552="","",LOOKUP(A552,Basiszins!$A$5:$A$18,Basiszins!$B$5:$B$18))</f>
        <v/>
      </c>
      <c r="C552">
        <f>IF(A552="","",B552+Rechner!$E$7)</f>
        <v/>
      </c>
      <c r="D552">
        <f>J551</f>
        <v/>
      </c>
      <c r="E552">
        <f>IF(A552="",0,D552*C552/100/(DATE(YEAR(A552)+1,1,1)-DATE(YEAR(A552),1,1)))</f>
        <v/>
      </c>
      <c r="F552">
        <f>IF(A552="",0,SUMIF(Rechner!$A$12:$A$21,A552,Rechner!$B$12:$B$21))</f>
        <v/>
      </c>
      <c r="G552">
        <f>H551+E552</f>
        <v/>
      </c>
      <c r="H552">
        <f>G552-MIN(F552,G552)</f>
        <v/>
      </c>
      <c r="I552">
        <f>MIN(F552-MIN(F552,G552),D552)</f>
        <v/>
      </c>
      <c r="J552">
        <f>D552-I552</f>
        <v/>
      </c>
      <c r="K552">
        <f>F552-MIN(F552,G552)-I552</f>
        <v/>
      </c>
    </row>
    <row r="553">
      <c r="A553" s="21">
        <f>IF(Rechner!$E$4&lt;&gt;"ok","",IF(Rechner!$E$5+551&lt;=Rechner!$B$6,Rechner!$E$5+551,""))</f>
        <v/>
      </c>
      <c r="B553">
        <f>IF(A553="","",LOOKUP(A553,Basiszins!$A$5:$A$18,Basiszins!$B$5:$B$18))</f>
        <v/>
      </c>
      <c r="C553">
        <f>IF(A553="","",B553+Rechner!$E$7)</f>
        <v/>
      </c>
      <c r="D553">
        <f>J552</f>
        <v/>
      </c>
      <c r="E553">
        <f>IF(A553="",0,D553*C553/100/(DATE(YEAR(A553)+1,1,1)-DATE(YEAR(A553),1,1)))</f>
        <v/>
      </c>
      <c r="F553">
        <f>IF(A553="",0,SUMIF(Rechner!$A$12:$A$21,A553,Rechner!$B$12:$B$21))</f>
        <v/>
      </c>
      <c r="G553">
        <f>H552+E553</f>
        <v/>
      </c>
      <c r="H553">
        <f>G553-MIN(F553,G553)</f>
        <v/>
      </c>
      <c r="I553">
        <f>MIN(F553-MIN(F553,G553),D553)</f>
        <v/>
      </c>
      <c r="J553">
        <f>D553-I553</f>
        <v/>
      </c>
      <c r="K553">
        <f>F553-MIN(F553,G553)-I553</f>
        <v/>
      </c>
    </row>
    <row r="554">
      <c r="A554" s="21">
        <f>IF(Rechner!$E$4&lt;&gt;"ok","",IF(Rechner!$E$5+552&lt;=Rechner!$B$6,Rechner!$E$5+552,""))</f>
        <v/>
      </c>
      <c r="B554">
        <f>IF(A554="","",LOOKUP(A554,Basiszins!$A$5:$A$18,Basiszins!$B$5:$B$18))</f>
        <v/>
      </c>
      <c r="C554">
        <f>IF(A554="","",B554+Rechner!$E$7)</f>
        <v/>
      </c>
      <c r="D554">
        <f>J553</f>
        <v/>
      </c>
      <c r="E554">
        <f>IF(A554="",0,D554*C554/100/(DATE(YEAR(A554)+1,1,1)-DATE(YEAR(A554),1,1)))</f>
        <v/>
      </c>
      <c r="F554">
        <f>IF(A554="",0,SUMIF(Rechner!$A$12:$A$21,A554,Rechner!$B$12:$B$21))</f>
        <v/>
      </c>
      <c r="G554">
        <f>H553+E554</f>
        <v/>
      </c>
      <c r="H554">
        <f>G554-MIN(F554,G554)</f>
        <v/>
      </c>
      <c r="I554">
        <f>MIN(F554-MIN(F554,G554),D554)</f>
        <v/>
      </c>
      <c r="J554">
        <f>D554-I554</f>
        <v/>
      </c>
      <c r="K554">
        <f>F554-MIN(F554,G554)-I554</f>
        <v/>
      </c>
    </row>
    <row r="555">
      <c r="A555" s="21">
        <f>IF(Rechner!$E$4&lt;&gt;"ok","",IF(Rechner!$E$5+553&lt;=Rechner!$B$6,Rechner!$E$5+553,""))</f>
        <v/>
      </c>
      <c r="B555">
        <f>IF(A555="","",LOOKUP(A555,Basiszins!$A$5:$A$18,Basiszins!$B$5:$B$18))</f>
        <v/>
      </c>
      <c r="C555">
        <f>IF(A555="","",B555+Rechner!$E$7)</f>
        <v/>
      </c>
      <c r="D555">
        <f>J554</f>
        <v/>
      </c>
      <c r="E555">
        <f>IF(A555="",0,D555*C555/100/(DATE(YEAR(A555)+1,1,1)-DATE(YEAR(A555),1,1)))</f>
        <v/>
      </c>
      <c r="F555">
        <f>IF(A555="",0,SUMIF(Rechner!$A$12:$A$21,A555,Rechner!$B$12:$B$21))</f>
        <v/>
      </c>
      <c r="G555">
        <f>H554+E555</f>
        <v/>
      </c>
      <c r="H555">
        <f>G555-MIN(F555,G555)</f>
        <v/>
      </c>
      <c r="I555">
        <f>MIN(F555-MIN(F555,G555),D555)</f>
        <v/>
      </c>
      <c r="J555">
        <f>D555-I555</f>
        <v/>
      </c>
      <c r="K555">
        <f>F555-MIN(F555,G555)-I555</f>
        <v/>
      </c>
    </row>
    <row r="556">
      <c r="A556" s="21">
        <f>IF(Rechner!$E$4&lt;&gt;"ok","",IF(Rechner!$E$5+554&lt;=Rechner!$B$6,Rechner!$E$5+554,""))</f>
        <v/>
      </c>
      <c r="B556">
        <f>IF(A556="","",LOOKUP(A556,Basiszins!$A$5:$A$18,Basiszins!$B$5:$B$18))</f>
        <v/>
      </c>
      <c r="C556">
        <f>IF(A556="","",B556+Rechner!$E$7)</f>
        <v/>
      </c>
      <c r="D556">
        <f>J555</f>
        <v/>
      </c>
      <c r="E556">
        <f>IF(A556="",0,D556*C556/100/(DATE(YEAR(A556)+1,1,1)-DATE(YEAR(A556),1,1)))</f>
        <v/>
      </c>
      <c r="F556">
        <f>IF(A556="",0,SUMIF(Rechner!$A$12:$A$21,A556,Rechner!$B$12:$B$21))</f>
        <v/>
      </c>
      <c r="G556">
        <f>H555+E556</f>
        <v/>
      </c>
      <c r="H556">
        <f>G556-MIN(F556,G556)</f>
        <v/>
      </c>
      <c r="I556">
        <f>MIN(F556-MIN(F556,G556),D556)</f>
        <v/>
      </c>
      <c r="J556">
        <f>D556-I556</f>
        <v/>
      </c>
      <c r="K556">
        <f>F556-MIN(F556,G556)-I556</f>
        <v/>
      </c>
    </row>
    <row r="557">
      <c r="A557" s="21">
        <f>IF(Rechner!$E$4&lt;&gt;"ok","",IF(Rechner!$E$5+555&lt;=Rechner!$B$6,Rechner!$E$5+555,""))</f>
        <v/>
      </c>
      <c r="B557">
        <f>IF(A557="","",LOOKUP(A557,Basiszins!$A$5:$A$18,Basiszins!$B$5:$B$18))</f>
        <v/>
      </c>
      <c r="C557">
        <f>IF(A557="","",B557+Rechner!$E$7)</f>
        <v/>
      </c>
      <c r="D557">
        <f>J556</f>
        <v/>
      </c>
      <c r="E557">
        <f>IF(A557="",0,D557*C557/100/(DATE(YEAR(A557)+1,1,1)-DATE(YEAR(A557),1,1)))</f>
        <v/>
      </c>
      <c r="F557">
        <f>IF(A557="",0,SUMIF(Rechner!$A$12:$A$21,A557,Rechner!$B$12:$B$21))</f>
        <v/>
      </c>
      <c r="G557">
        <f>H556+E557</f>
        <v/>
      </c>
      <c r="H557">
        <f>G557-MIN(F557,G557)</f>
        <v/>
      </c>
      <c r="I557">
        <f>MIN(F557-MIN(F557,G557),D557)</f>
        <v/>
      </c>
      <c r="J557">
        <f>D557-I557</f>
        <v/>
      </c>
      <c r="K557">
        <f>F557-MIN(F557,G557)-I557</f>
        <v/>
      </c>
    </row>
    <row r="558">
      <c r="A558" s="21">
        <f>IF(Rechner!$E$4&lt;&gt;"ok","",IF(Rechner!$E$5+556&lt;=Rechner!$B$6,Rechner!$E$5+556,""))</f>
        <v/>
      </c>
      <c r="B558">
        <f>IF(A558="","",LOOKUP(A558,Basiszins!$A$5:$A$18,Basiszins!$B$5:$B$18))</f>
        <v/>
      </c>
      <c r="C558">
        <f>IF(A558="","",B558+Rechner!$E$7)</f>
        <v/>
      </c>
      <c r="D558">
        <f>J557</f>
        <v/>
      </c>
      <c r="E558">
        <f>IF(A558="",0,D558*C558/100/(DATE(YEAR(A558)+1,1,1)-DATE(YEAR(A558),1,1)))</f>
        <v/>
      </c>
      <c r="F558">
        <f>IF(A558="",0,SUMIF(Rechner!$A$12:$A$21,A558,Rechner!$B$12:$B$21))</f>
        <v/>
      </c>
      <c r="G558">
        <f>H557+E558</f>
        <v/>
      </c>
      <c r="H558">
        <f>G558-MIN(F558,G558)</f>
        <v/>
      </c>
      <c r="I558">
        <f>MIN(F558-MIN(F558,G558),D558)</f>
        <v/>
      </c>
      <c r="J558">
        <f>D558-I558</f>
        <v/>
      </c>
      <c r="K558">
        <f>F558-MIN(F558,G558)-I558</f>
        <v/>
      </c>
    </row>
    <row r="559">
      <c r="A559" s="21">
        <f>IF(Rechner!$E$4&lt;&gt;"ok","",IF(Rechner!$E$5+557&lt;=Rechner!$B$6,Rechner!$E$5+557,""))</f>
        <v/>
      </c>
      <c r="B559">
        <f>IF(A559="","",LOOKUP(A559,Basiszins!$A$5:$A$18,Basiszins!$B$5:$B$18))</f>
        <v/>
      </c>
      <c r="C559">
        <f>IF(A559="","",B559+Rechner!$E$7)</f>
        <v/>
      </c>
      <c r="D559">
        <f>J558</f>
        <v/>
      </c>
      <c r="E559">
        <f>IF(A559="",0,D559*C559/100/(DATE(YEAR(A559)+1,1,1)-DATE(YEAR(A559),1,1)))</f>
        <v/>
      </c>
      <c r="F559">
        <f>IF(A559="",0,SUMIF(Rechner!$A$12:$A$21,A559,Rechner!$B$12:$B$21))</f>
        <v/>
      </c>
      <c r="G559">
        <f>H558+E559</f>
        <v/>
      </c>
      <c r="H559">
        <f>G559-MIN(F559,G559)</f>
        <v/>
      </c>
      <c r="I559">
        <f>MIN(F559-MIN(F559,G559),D559)</f>
        <v/>
      </c>
      <c r="J559">
        <f>D559-I559</f>
        <v/>
      </c>
      <c r="K559">
        <f>F559-MIN(F559,G559)-I559</f>
        <v/>
      </c>
    </row>
    <row r="560">
      <c r="A560" s="21">
        <f>IF(Rechner!$E$4&lt;&gt;"ok","",IF(Rechner!$E$5+558&lt;=Rechner!$B$6,Rechner!$E$5+558,""))</f>
        <v/>
      </c>
      <c r="B560">
        <f>IF(A560="","",LOOKUP(A560,Basiszins!$A$5:$A$18,Basiszins!$B$5:$B$18))</f>
        <v/>
      </c>
      <c r="C560">
        <f>IF(A560="","",B560+Rechner!$E$7)</f>
        <v/>
      </c>
      <c r="D560">
        <f>J559</f>
        <v/>
      </c>
      <c r="E560">
        <f>IF(A560="",0,D560*C560/100/(DATE(YEAR(A560)+1,1,1)-DATE(YEAR(A560),1,1)))</f>
        <v/>
      </c>
      <c r="F560">
        <f>IF(A560="",0,SUMIF(Rechner!$A$12:$A$21,A560,Rechner!$B$12:$B$21))</f>
        <v/>
      </c>
      <c r="G560">
        <f>H559+E560</f>
        <v/>
      </c>
      <c r="H560">
        <f>G560-MIN(F560,G560)</f>
        <v/>
      </c>
      <c r="I560">
        <f>MIN(F560-MIN(F560,G560),D560)</f>
        <v/>
      </c>
      <c r="J560">
        <f>D560-I560</f>
        <v/>
      </c>
      <c r="K560">
        <f>F560-MIN(F560,G560)-I560</f>
        <v/>
      </c>
    </row>
    <row r="561">
      <c r="A561" s="21">
        <f>IF(Rechner!$E$4&lt;&gt;"ok","",IF(Rechner!$E$5+559&lt;=Rechner!$B$6,Rechner!$E$5+559,""))</f>
        <v/>
      </c>
      <c r="B561">
        <f>IF(A561="","",LOOKUP(A561,Basiszins!$A$5:$A$18,Basiszins!$B$5:$B$18))</f>
        <v/>
      </c>
      <c r="C561">
        <f>IF(A561="","",B561+Rechner!$E$7)</f>
        <v/>
      </c>
      <c r="D561">
        <f>J560</f>
        <v/>
      </c>
      <c r="E561">
        <f>IF(A561="",0,D561*C561/100/(DATE(YEAR(A561)+1,1,1)-DATE(YEAR(A561),1,1)))</f>
        <v/>
      </c>
      <c r="F561">
        <f>IF(A561="",0,SUMIF(Rechner!$A$12:$A$21,A561,Rechner!$B$12:$B$21))</f>
        <v/>
      </c>
      <c r="G561">
        <f>H560+E561</f>
        <v/>
      </c>
      <c r="H561">
        <f>G561-MIN(F561,G561)</f>
        <v/>
      </c>
      <c r="I561">
        <f>MIN(F561-MIN(F561,G561),D561)</f>
        <v/>
      </c>
      <c r="J561">
        <f>D561-I561</f>
        <v/>
      </c>
      <c r="K561">
        <f>F561-MIN(F561,G561)-I561</f>
        <v/>
      </c>
    </row>
    <row r="562">
      <c r="A562" s="21">
        <f>IF(Rechner!$E$4&lt;&gt;"ok","",IF(Rechner!$E$5+560&lt;=Rechner!$B$6,Rechner!$E$5+560,""))</f>
        <v/>
      </c>
      <c r="B562">
        <f>IF(A562="","",LOOKUP(A562,Basiszins!$A$5:$A$18,Basiszins!$B$5:$B$18))</f>
        <v/>
      </c>
      <c r="C562">
        <f>IF(A562="","",B562+Rechner!$E$7)</f>
        <v/>
      </c>
      <c r="D562">
        <f>J561</f>
        <v/>
      </c>
      <c r="E562">
        <f>IF(A562="",0,D562*C562/100/(DATE(YEAR(A562)+1,1,1)-DATE(YEAR(A562),1,1)))</f>
        <v/>
      </c>
      <c r="F562">
        <f>IF(A562="",0,SUMIF(Rechner!$A$12:$A$21,A562,Rechner!$B$12:$B$21))</f>
        <v/>
      </c>
      <c r="G562">
        <f>H561+E562</f>
        <v/>
      </c>
      <c r="H562">
        <f>G562-MIN(F562,G562)</f>
        <v/>
      </c>
      <c r="I562">
        <f>MIN(F562-MIN(F562,G562),D562)</f>
        <v/>
      </c>
      <c r="J562">
        <f>D562-I562</f>
        <v/>
      </c>
      <c r="K562">
        <f>F562-MIN(F562,G562)-I562</f>
        <v/>
      </c>
    </row>
    <row r="563">
      <c r="A563" s="21">
        <f>IF(Rechner!$E$4&lt;&gt;"ok","",IF(Rechner!$E$5+561&lt;=Rechner!$B$6,Rechner!$E$5+561,""))</f>
        <v/>
      </c>
      <c r="B563">
        <f>IF(A563="","",LOOKUP(A563,Basiszins!$A$5:$A$18,Basiszins!$B$5:$B$18))</f>
        <v/>
      </c>
      <c r="C563">
        <f>IF(A563="","",B563+Rechner!$E$7)</f>
        <v/>
      </c>
      <c r="D563">
        <f>J562</f>
        <v/>
      </c>
      <c r="E563">
        <f>IF(A563="",0,D563*C563/100/(DATE(YEAR(A563)+1,1,1)-DATE(YEAR(A563),1,1)))</f>
        <v/>
      </c>
      <c r="F563">
        <f>IF(A563="",0,SUMIF(Rechner!$A$12:$A$21,A563,Rechner!$B$12:$B$21))</f>
        <v/>
      </c>
      <c r="G563">
        <f>H562+E563</f>
        <v/>
      </c>
      <c r="H563">
        <f>G563-MIN(F563,G563)</f>
        <v/>
      </c>
      <c r="I563">
        <f>MIN(F563-MIN(F563,G563),D563)</f>
        <v/>
      </c>
      <c r="J563">
        <f>D563-I563</f>
        <v/>
      </c>
      <c r="K563">
        <f>F563-MIN(F563,G563)-I563</f>
        <v/>
      </c>
    </row>
    <row r="564">
      <c r="A564" s="21">
        <f>IF(Rechner!$E$4&lt;&gt;"ok","",IF(Rechner!$E$5+562&lt;=Rechner!$B$6,Rechner!$E$5+562,""))</f>
        <v/>
      </c>
      <c r="B564">
        <f>IF(A564="","",LOOKUP(A564,Basiszins!$A$5:$A$18,Basiszins!$B$5:$B$18))</f>
        <v/>
      </c>
      <c r="C564">
        <f>IF(A564="","",B564+Rechner!$E$7)</f>
        <v/>
      </c>
      <c r="D564">
        <f>J563</f>
        <v/>
      </c>
      <c r="E564">
        <f>IF(A564="",0,D564*C564/100/(DATE(YEAR(A564)+1,1,1)-DATE(YEAR(A564),1,1)))</f>
        <v/>
      </c>
      <c r="F564">
        <f>IF(A564="",0,SUMIF(Rechner!$A$12:$A$21,A564,Rechner!$B$12:$B$21))</f>
        <v/>
      </c>
      <c r="G564">
        <f>H563+E564</f>
        <v/>
      </c>
      <c r="H564">
        <f>G564-MIN(F564,G564)</f>
        <v/>
      </c>
      <c r="I564">
        <f>MIN(F564-MIN(F564,G564),D564)</f>
        <v/>
      </c>
      <c r="J564">
        <f>D564-I564</f>
        <v/>
      </c>
      <c r="K564">
        <f>F564-MIN(F564,G564)-I564</f>
        <v/>
      </c>
    </row>
    <row r="565">
      <c r="A565" s="21">
        <f>IF(Rechner!$E$4&lt;&gt;"ok","",IF(Rechner!$E$5+563&lt;=Rechner!$B$6,Rechner!$E$5+563,""))</f>
        <v/>
      </c>
      <c r="B565">
        <f>IF(A565="","",LOOKUP(A565,Basiszins!$A$5:$A$18,Basiszins!$B$5:$B$18))</f>
        <v/>
      </c>
      <c r="C565">
        <f>IF(A565="","",B565+Rechner!$E$7)</f>
        <v/>
      </c>
      <c r="D565">
        <f>J564</f>
        <v/>
      </c>
      <c r="E565">
        <f>IF(A565="",0,D565*C565/100/(DATE(YEAR(A565)+1,1,1)-DATE(YEAR(A565),1,1)))</f>
        <v/>
      </c>
      <c r="F565">
        <f>IF(A565="",0,SUMIF(Rechner!$A$12:$A$21,A565,Rechner!$B$12:$B$21))</f>
        <v/>
      </c>
      <c r="G565">
        <f>H564+E565</f>
        <v/>
      </c>
      <c r="H565">
        <f>G565-MIN(F565,G565)</f>
        <v/>
      </c>
      <c r="I565">
        <f>MIN(F565-MIN(F565,G565),D565)</f>
        <v/>
      </c>
      <c r="J565">
        <f>D565-I565</f>
        <v/>
      </c>
      <c r="K565">
        <f>F565-MIN(F565,G565)-I565</f>
        <v/>
      </c>
    </row>
    <row r="566">
      <c r="A566" s="21">
        <f>IF(Rechner!$E$4&lt;&gt;"ok","",IF(Rechner!$E$5+564&lt;=Rechner!$B$6,Rechner!$E$5+564,""))</f>
        <v/>
      </c>
      <c r="B566">
        <f>IF(A566="","",LOOKUP(A566,Basiszins!$A$5:$A$18,Basiszins!$B$5:$B$18))</f>
        <v/>
      </c>
      <c r="C566">
        <f>IF(A566="","",B566+Rechner!$E$7)</f>
        <v/>
      </c>
      <c r="D566">
        <f>J565</f>
        <v/>
      </c>
      <c r="E566">
        <f>IF(A566="",0,D566*C566/100/(DATE(YEAR(A566)+1,1,1)-DATE(YEAR(A566),1,1)))</f>
        <v/>
      </c>
      <c r="F566">
        <f>IF(A566="",0,SUMIF(Rechner!$A$12:$A$21,A566,Rechner!$B$12:$B$21))</f>
        <v/>
      </c>
      <c r="G566">
        <f>H565+E566</f>
        <v/>
      </c>
      <c r="H566">
        <f>G566-MIN(F566,G566)</f>
        <v/>
      </c>
      <c r="I566">
        <f>MIN(F566-MIN(F566,G566),D566)</f>
        <v/>
      </c>
      <c r="J566">
        <f>D566-I566</f>
        <v/>
      </c>
      <c r="K566">
        <f>F566-MIN(F566,G566)-I566</f>
        <v/>
      </c>
    </row>
    <row r="567">
      <c r="A567" s="21">
        <f>IF(Rechner!$E$4&lt;&gt;"ok","",IF(Rechner!$E$5+565&lt;=Rechner!$B$6,Rechner!$E$5+565,""))</f>
        <v/>
      </c>
      <c r="B567">
        <f>IF(A567="","",LOOKUP(A567,Basiszins!$A$5:$A$18,Basiszins!$B$5:$B$18))</f>
        <v/>
      </c>
      <c r="C567">
        <f>IF(A567="","",B567+Rechner!$E$7)</f>
        <v/>
      </c>
      <c r="D567">
        <f>J566</f>
        <v/>
      </c>
      <c r="E567">
        <f>IF(A567="",0,D567*C567/100/(DATE(YEAR(A567)+1,1,1)-DATE(YEAR(A567),1,1)))</f>
        <v/>
      </c>
      <c r="F567">
        <f>IF(A567="",0,SUMIF(Rechner!$A$12:$A$21,A567,Rechner!$B$12:$B$21))</f>
        <v/>
      </c>
      <c r="G567">
        <f>H566+E567</f>
        <v/>
      </c>
      <c r="H567">
        <f>G567-MIN(F567,G567)</f>
        <v/>
      </c>
      <c r="I567">
        <f>MIN(F567-MIN(F567,G567),D567)</f>
        <v/>
      </c>
      <c r="J567">
        <f>D567-I567</f>
        <v/>
      </c>
      <c r="K567">
        <f>F567-MIN(F567,G567)-I567</f>
        <v/>
      </c>
    </row>
    <row r="568">
      <c r="A568" s="21">
        <f>IF(Rechner!$E$4&lt;&gt;"ok","",IF(Rechner!$E$5+566&lt;=Rechner!$B$6,Rechner!$E$5+566,""))</f>
        <v/>
      </c>
      <c r="B568">
        <f>IF(A568="","",LOOKUP(A568,Basiszins!$A$5:$A$18,Basiszins!$B$5:$B$18))</f>
        <v/>
      </c>
      <c r="C568">
        <f>IF(A568="","",B568+Rechner!$E$7)</f>
        <v/>
      </c>
      <c r="D568">
        <f>J567</f>
        <v/>
      </c>
      <c r="E568">
        <f>IF(A568="",0,D568*C568/100/(DATE(YEAR(A568)+1,1,1)-DATE(YEAR(A568),1,1)))</f>
        <v/>
      </c>
      <c r="F568">
        <f>IF(A568="",0,SUMIF(Rechner!$A$12:$A$21,A568,Rechner!$B$12:$B$21))</f>
        <v/>
      </c>
      <c r="G568">
        <f>H567+E568</f>
        <v/>
      </c>
      <c r="H568">
        <f>G568-MIN(F568,G568)</f>
        <v/>
      </c>
      <c r="I568">
        <f>MIN(F568-MIN(F568,G568),D568)</f>
        <v/>
      </c>
      <c r="J568">
        <f>D568-I568</f>
        <v/>
      </c>
      <c r="K568">
        <f>F568-MIN(F568,G568)-I568</f>
        <v/>
      </c>
    </row>
    <row r="569">
      <c r="A569" s="21">
        <f>IF(Rechner!$E$4&lt;&gt;"ok","",IF(Rechner!$E$5+567&lt;=Rechner!$B$6,Rechner!$E$5+567,""))</f>
        <v/>
      </c>
      <c r="B569">
        <f>IF(A569="","",LOOKUP(A569,Basiszins!$A$5:$A$18,Basiszins!$B$5:$B$18))</f>
        <v/>
      </c>
      <c r="C569">
        <f>IF(A569="","",B569+Rechner!$E$7)</f>
        <v/>
      </c>
      <c r="D569">
        <f>J568</f>
        <v/>
      </c>
      <c r="E569">
        <f>IF(A569="",0,D569*C569/100/(DATE(YEAR(A569)+1,1,1)-DATE(YEAR(A569),1,1)))</f>
        <v/>
      </c>
      <c r="F569">
        <f>IF(A569="",0,SUMIF(Rechner!$A$12:$A$21,A569,Rechner!$B$12:$B$21))</f>
        <v/>
      </c>
      <c r="G569">
        <f>H568+E569</f>
        <v/>
      </c>
      <c r="H569">
        <f>G569-MIN(F569,G569)</f>
        <v/>
      </c>
      <c r="I569">
        <f>MIN(F569-MIN(F569,G569),D569)</f>
        <v/>
      </c>
      <c r="J569">
        <f>D569-I569</f>
        <v/>
      </c>
      <c r="K569">
        <f>F569-MIN(F569,G569)-I569</f>
        <v/>
      </c>
    </row>
    <row r="570">
      <c r="A570" s="21">
        <f>IF(Rechner!$E$4&lt;&gt;"ok","",IF(Rechner!$E$5+568&lt;=Rechner!$B$6,Rechner!$E$5+568,""))</f>
        <v/>
      </c>
      <c r="B570">
        <f>IF(A570="","",LOOKUP(A570,Basiszins!$A$5:$A$18,Basiszins!$B$5:$B$18))</f>
        <v/>
      </c>
      <c r="C570">
        <f>IF(A570="","",B570+Rechner!$E$7)</f>
        <v/>
      </c>
      <c r="D570">
        <f>J569</f>
        <v/>
      </c>
      <c r="E570">
        <f>IF(A570="",0,D570*C570/100/(DATE(YEAR(A570)+1,1,1)-DATE(YEAR(A570),1,1)))</f>
        <v/>
      </c>
      <c r="F570">
        <f>IF(A570="",0,SUMIF(Rechner!$A$12:$A$21,A570,Rechner!$B$12:$B$21))</f>
        <v/>
      </c>
      <c r="G570">
        <f>H569+E570</f>
        <v/>
      </c>
      <c r="H570">
        <f>G570-MIN(F570,G570)</f>
        <v/>
      </c>
      <c r="I570">
        <f>MIN(F570-MIN(F570,G570),D570)</f>
        <v/>
      </c>
      <c r="J570">
        <f>D570-I570</f>
        <v/>
      </c>
      <c r="K570">
        <f>F570-MIN(F570,G570)-I570</f>
        <v/>
      </c>
    </row>
    <row r="571">
      <c r="A571" s="21">
        <f>IF(Rechner!$E$4&lt;&gt;"ok","",IF(Rechner!$E$5+569&lt;=Rechner!$B$6,Rechner!$E$5+569,""))</f>
        <v/>
      </c>
      <c r="B571">
        <f>IF(A571="","",LOOKUP(A571,Basiszins!$A$5:$A$18,Basiszins!$B$5:$B$18))</f>
        <v/>
      </c>
      <c r="C571">
        <f>IF(A571="","",B571+Rechner!$E$7)</f>
        <v/>
      </c>
      <c r="D571">
        <f>J570</f>
        <v/>
      </c>
      <c r="E571">
        <f>IF(A571="",0,D571*C571/100/(DATE(YEAR(A571)+1,1,1)-DATE(YEAR(A571),1,1)))</f>
        <v/>
      </c>
      <c r="F571">
        <f>IF(A571="",0,SUMIF(Rechner!$A$12:$A$21,A571,Rechner!$B$12:$B$21))</f>
        <v/>
      </c>
      <c r="G571">
        <f>H570+E571</f>
        <v/>
      </c>
      <c r="H571">
        <f>G571-MIN(F571,G571)</f>
        <v/>
      </c>
      <c r="I571">
        <f>MIN(F571-MIN(F571,G571),D571)</f>
        <v/>
      </c>
      <c r="J571">
        <f>D571-I571</f>
        <v/>
      </c>
      <c r="K571">
        <f>F571-MIN(F571,G571)-I571</f>
        <v/>
      </c>
    </row>
    <row r="572">
      <c r="A572" s="21">
        <f>IF(Rechner!$E$4&lt;&gt;"ok","",IF(Rechner!$E$5+570&lt;=Rechner!$B$6,Rechner!$E$5+570,""))</f>
        <v/>
      </c>
      <c r="B572">
        <f>IF(A572="","",LOOKUP(A572,Basiszins!$A$5:$A$18,Basiszins!$B$5:$B$18))</f>
        <v/>
      </c>
      <c r="C572">
        <f>IF(A572="","",B572+Rechner!$E$7)</f>
        <v/>
      </c>
      <c r="D572">
        <f>J571</f>
        <v/>
      </c>
      <c r="E572">
        <f>IF(A572="",0,D572*C572/100/(DATE(YEAR(A572)+1,1,1)-DATE(YEAR(A572),1,1)))</f>
        <v/>
      </c>
      <c r="F572">
        <f>IF(A572="",0,SUMIF(Rechner!$A$12:$A$21,A572,Rechner!$B$12:$B$21))</f>
        <v/>
      </c>
      <c r="G572">
        <f>H571+E572</f>
        <v/>
      </c>
      <c r="H572">
        <f>G572-MIN(F572,G572)</f>
        <v/>
      </c>
      <c r="I572">
        <f>MIN(F572-MIN(F572,G572),D572)</f>
        <v/>
      </c>
      <c r="J572">
        <f>D572-I572</f>
        <v/>
      </c>
      <c r="K572">
        <f>F572-MIN(F572,G572)-I572</f>
        <v/>
      </c>
    </row>
    <row r="573">
      <c r="A573" s="21">
        <f>IF(Rechner!$E$4&lt;&gt;"ok","",IF(Rechner!$E$5+571&lt;=Rechner!$B$6,Rechner!$E$5+571,""))</f>
        <v/>
      </c>
      <c r="B573">
        <f>IF(A573="","",LOOKUP(A573,Basiszins!$A$5:$A$18,Basiszins!$B$5:$B$18))</f>
        <v/>
      </c>
      <c r="C573">
        <f>IF(A573="","",B573+Rechner!$E$7)</f>
        <v/>
      </c>
      <c r="D573">
        <f>J572</f>
        <v/>
      </c>
      <c r="E573">
        <f>IF(A573="",0,D573*C573/100/(DATE(YEAR(A573)+1,1,1)-DATE(YEAR(A573),1,1)))</f>
        <v/>
      </c>
      <c r="F573">
        <f>IF(A573="",0,SUMIF(Rechner!$A$12:$A$21,A573,Rechner!$B$12:$B$21))</f>
        <v/>
      </c>
      <c r="G573">
        <f>H572+E573</f>
        <v/>
      </c>
      <c r="H573">
        <f>G573-MIN(F573,G573)</f>
        <v/>
      </c>
      <c r="I573">
        <f>MIN(F573-MIN(F573,G573),D573)</f>
        <v/>
      </c>
      <c r="J573">
        <f>D573-I573</f>
        <v/>
      </c>
      <c r="K573">
        <f>F573-MIN(F573,G573)-I573</f>
        <v/>
      </c>
    </row>
    <row r="574">
      <c r="A574" s="21">
        <f>IF(Rechner!$E$4&lt;&gt;"ok","",IF(Rechner!$E$5+572&lt;=Rechner!$B$6,Rechner!$E$5+572,""))</f>
        <v/>
      </c>
      <c r="B574">
        <f>IF(A574="","",LOOKUP(A574,Basiszins!$A$5:$A$18,Basiszins!$B$5:$B$18))</f>
        <v/>
      </c>
      <c r="C574">
        <f>IF(A574="","",B574+Rechner!$E$7)</f>
        <v/>
      </c>
      <c r="D574">
        <f>J573</f>
        <v/>
      </c>
      <c r="E574">
        <f>IF(A574="",0,D574*C574/100/(DATE(YEAR(A574)+1,1,1)-DATE(YEAR(A574),1,1)))</f>
        <v/>
      </c>
      <c r="F574">
        <f>IF(A574="",0,SUMIF(Rechner!$A$12:$A$21,A574,Rechner!$B$12:$B$21))</f>
        <v/>
      </c>
      <c r="G574">
        <f>H573+E574</f>
        <v/>
      </c>
      <c r="H574">
        <f>G574-MIN(F574,G574)</f>
        <v/>
      </c>
      <c r="I574">
        <f>MIN(F574-MIN(F574,G574),D574)</f>
        <v/>
      </c>
      <c r="J574">
        <f>D574-I574</f>
        <v/>
      </c>
      <c r="K574">
        <f>F574-MIN(F574,G574)-I574</f>
        <v/>
      </c>
    </row>
    <row r="575">
      <c r="A575" s="21">
        <f>IF(Rechner!$E$4&lt;&gt;"ok","",IF(Rechner!$E$5+573&lt;=Rechner!$B$6,Rechner!$E$5+573,""))</f>
        <v/>
      </c>
      <c r="B575">
        <f>IF(A575="","",LOOKUP(A575,Basiszins!$A$5:$A$18,Basiszins!$B$5:$B$18))</f>
        <v/>
      </c>
      <c r="C575">
        <f>IF(A575="","",B575+Rechner!$E$7)</f>
        <v/>
      </c>
      <c r="D575">
        <f>J574</f>
        <v/>
      </c>
      <c r="E575">
        <f>IF(A575="",0,D575*C575/100/(DATE(YEAR(A575)+1,1,1)-DATE(YEAR(A575),1,1)))</f>
        <v/>
      </c>
      <c r="F575">
        <f>IF(A575="",0,SUMIF(Rechner!$A$12:$A$21,A575,Rechner!$B$12:$B$21))</f>
        <v/>
      </c>
      <c r="G575">
        <f>H574+E575</f>
        <v/>
      </c>
      <c r="H575">
        <f>G575-MIN(F575,G575)</f>
        <v/>
      </c>
      <c r="I575">
        <f>MIN(F575-MIN(F575,G575),D575)</f>
        <v/>
      </c>
      <c r="J575">
        <f>D575-I575</f>
        <v/>
      </c>
      <c r="K575">
        <f>F575-MIN(F575,G575)-I575</f>
        <v/>
      </c>
    </row>
    <row r="576">
      <c r="A576" s="21">
        <f>IF(Rechner!$E$4&lt;&gt;"ok","",IF(Rechner!$E$5+574&lt;=Rechner!$B$6,Rechner!$E$5+574,""))</f>
        <v/>
      </c>
      <c r="B576">
        <f>IF(A576="","",LOOKUP(A576,Basiszins!$A$5:$A$18,Basiszins!$B$5:$B$18))</f>
        <v/>
      </c>
      <c r="C576">
        <f>IF(A576="","",B576+Rechner!$E$7)</f>
        <v/>
      </c>
      <c r="D576">
        <f>J575</f>
        <v/>
      </c>
      <c r="E576">
        <f>IF(A576="",0,D576*C576/100/(DATE(YEAR(A576)+1,1,1)-DATE(YEAR(A576),1,1)))</f>
        <v/>
      </c>
      <c r="F576">
        <f>IF(A576="",0,SUMIF(Rechner!$A$12:$A$21,A576,Rechner!$B$12:$B$21))</f>
        <v/>
      </c>
      <c r="G576">
        <f>H575+E576</f>
        <v/>
      </c>
      <c r="H576">
        <f>G576-MIN(F576,G576)</f>
        <v/>
      </c>
      <c r="I576">
        <f>MIN(F576-MIN(F576,G576),D576)</f>
        <v/>
      </c>
      <c r="J576">
        <f>D576-I576</f>
        <v/>
      </c>
      <c r="K576">
        <f>F576-MIN(F576,G576)-I576</f>
        <v/>
      </c>
    </row>
    <row r="577">
      <c r="A577" s="21">
        <f>IF(Rechner!$E$4&lt;&gt;"ok","",IF(Rechner!$E$5+575&lt;=Rechner!$B$6,Rechner!$E$5+575,""))</f>
        <v/>
      </c>
      <c r="B577">
        <f>IF(A577="","",LOOKUP(A577,Basiszins!$A$5:$A$18,Basiszins!$B$5:$B$18))</f>
        <v/>
      </c>
      <c r="C577">
        <f>IF(A577="","",B577+Rechner!$E$7)</f>
        <v/>
      </c>
      <c r="D577">
        <f>J576</f>
        <v/>
      </c>
      <c r="E577">
        <f>IF(A577="",0,D577*C577/100/(DATE(YEAR(A577)+1,1,1)-DATE(YEAR(A577),1,1)))</f>
        <v/>
      </c>
      <c r="F577">
        <f>IF(A577="",0,SUMIF(Rechner!$A$12:$A$21,A577,Rechner!$B$12:$B$21))</f>
        <v/>
      </c>
      <c r="G577">
        <f>H576+E577</f>
        <v/>
      </c>
      <c r="H577">
        <f>G577-MIN(F577,G577)</f>
        <v/>
      </c>
      <c r="I577">
        <f>MIN(F577-MIN(F577,G577),D577)</f>
        <v/>
      </c>
      <c r="J577">
        <f>D577-I577</f>
        <v/>
      </c>
      <c r="K577">
        <f>F577-MIN(F577,G577)-I577</f>
        <v/>
      </c>
    </row>
    <row r="578">
      <c r="A578" s="21">
        <f>IF(Rechner!$E$4&lt;&gt;"ok","",IF(Rechner!$E$5+576&lt;=Rechner!$B$6,Rechner!$E$5+576,""))</f>
        <v/>
      </c>
      <c r="B578">
        <f>IF(A578="","",LOOKUP(A578,Basiszins!$A$5:$A$18,Basiszins!$B$5:$B$18))</f>
        <v/>
      </c>
      <c r="C578">
        <f>IF(A578="","",B578+Rechner!$E$7)</f>
        <v/>
      </c>
      <c r="D578">
        <f>J577</f>
        <v/>
      </c>
      <c r="E578">
        <f>IF(A578="",0,D578*C578/100/(DATE(YEAR(A578)+1,1,1)-DATE(YEAR(A578),1,1)))</f>
        <v/>
      </c>
      <c r="F578">
        <f>IF(A578="",0,SUMIF(Rechner!$A$12:$A$21,A578,Rechner!$B$12:$B$21))</f>
        <v/>
      </c>
      <c r="G578">
        <f>H577+E578</f>
        <v/>
      </c>
      <c r="H578">
        <f>G578-MIN(F578,G578)</f>
        <v/>
      </c>
      <c r="I578">
        <f>MIN(F578-MIN(F578,G578),D578)</f>
        <v/>
      </c>
      <c r="J578">
        <f>D578-I578</f>
        <v/>
      </c>
      <c r="K578">
        <f>F578-MIN(F578,G578)-I578</f>
        <v/>
      </c>
    </row>
    <row r="579">
      <c r="A579" s="21">
        <f>IF(Rechner!$E$4&lt;&gt;"ok","",IF(Rechner!$E$5+577&lt;=Rechner!$B$6,Rechner!$E$5+577,""))</f>
        <v/>
      </c>
      <c r="B579">
        <f>IF(A579="","",LOOKUP(A579,Basiszins!$A$5:$A$18,Basiszins!$B$5:$B$18))</f>
        <v/>
      </c>
      <c r="C579">
        <f>IF(A579="","",B579+Rechner!$E$7)</f>
        <v/>
      </c>
      <c r="D579">
        <f>J578</f>
        <v/>
      </c>
      <c r="E579">
        <f>IF(A579="",0,D579*C579/100/(DATE(YEAR(A579)+1,1,1)-DATE(YEAR(A579),1,1)))</f>
        <v/>
      </c>
      <c r="F579">
        <f>IF(A579="",0,SUMIF(Rechner!$A$12:$A$21,A579,Rechner!$B$12:$B$21))</f>
        <v/>
      </c>
      <c r="G579">
        <f>H578+E579</f>
        <v/>
      </c>
      <c r="H579">
        <f>G579-MIN(F579,G579)</f>
        <v/>
      </c>
      <c r="I579">
        <f>MIN(F579-MIN(F579,G579),D579)</f>
        <v/>
      </c>
      <c r="J579">
        <f>D579-I579</f>
        <v/>
      </c>
      <c r="K579">
        <f>F579-MIN(F579,G579)-I579</f>
        <v/>
      </c>
    </row>
    <row r="580">
      <c r="A580" s="21">
        <f>IF(Rechner!$E$4&lt;&gt;"ok","",IF(Rechner!$E$5+578&lt;=Rechner!$B$6,Rechner!$E$5+578,""))</f>
        <v/>
      </c>
      <c r="B580">
        <f>IF(A580="","",LOOKUP(A580,Basiszins!$A$5:$A$18,Basiszins!$B$5:$B$18))</f>
        <v/>
      </c>
      <c r="C580">
        <f>IF(A580="","",B580+Rechner!$E$7)</f>
        <v/>
      </c>
      <c r="D580">
        <f>J579</f>
        <v/>
      </c>
      <c r="E580">
        <f>IF(A580="",0,D580*C580/100/(DATE(YEAR(A580)+1,1,1)-DATE(YEAR(A580),1,1)))</f>
        <v/>
      </c>
      <c r="F580">
        <f>IF(A580="",0,SUMIF(Rechner!$A$12:$A$21,A580,Rechner!$B$12:$B$21))</f>
        <v/>
      </c>
      <c r="G580">
        <f>H579+E580</f>
        <v/>
      </c>
      <c r="H580">
        <f>G580-MIN(F580,G580)</f>
        <v/>
      </c>
      <c r="I580">
        <f>MIN(F580-MIN(F580,G580),D580)</f>
        <v/>
      </c>
      <c r="J580">
        <f>D580-I580</f>
        <v/>
      </c>
      <c r="K580">
        <f>F580-MIN(F580,G580)-I580</f>
        <v/>
      </c>
    </row>
    <row r="581">
      <c r="A581" s="21">
        <f>IF(Rechner!$E$4&lt;&gt;"ok","",IF(Rechner!$E$5+579&lt;=Rechner!$B$6,Rechner!$E$5+579,""))</f>
        <v/>
      </c>
      <c r="B581">
        <f>IF(A581="","",LOOKUP(A581,Basiszins!$A$5:$A$18,Basiszins!$B$5:$B$18))</f>
        <v/>
      </c>
      <c r="C581">
        <f>IF(A581="","",B581+Rechner!$E$7)</f>
        <v/>
      </c>
      <c r="D581">
        <f>J580</f>
        <v/>
      </c>
      <c r="E581">
        <f>IF(A581="",0,D581*C581/100/(DATE(YEAR(A581)+1,1,1)-DATE(YEAR(A581),1,1)))</f>
        <v/>
      </c>
      <c r="F581">
        <f>IF(A581="",0,SUMIF(Rechner!$A$12:$A$21,A581,Rechner!$B$12:$B$21))</f>
        <v/>
      </c>
      <c r="G581">
        <f>H580+E581</f>
        <v/>
      </c>
      <c r="H581">
        <f>G581-MIN(F581,G581)</f>
        <v/>
      </c>
      <c r="I581">
        <f>MIN(F581-MIN(F581,G581),D581)</f>
        <v/>
      </c>
      <c r="J581">
        <f>D581-I581</f>
        <v/>
      </c>
      <c r="K581">
        <f>F581-MIN(F581,G581)-I581</f>
        <v/>
      </c>
    </row>
    <row r="582">
      <c r="A582" s="21">
        <f>IF(Rechner!$E$4&lt;&gt;"ok","",IF(Rechner!$E$5+580&lt;=Rechner!$B$6,Rechner!$E$5+580,""))</f>
        <v/>
      </c>
      <c r="B582">
        <f>IF(A582="","",LOOKUP(A582,Basiszins!$A$5:$A$18,Basiszins!$B$5:$B$18))</f>
        <v/>
      </c>
      <c r="C582">
        <f>IF(A582="","",B582+Rechner!$E$7)</f>
        <v/>
      </c>
      <c r="D582">
        <f>J581</f>
        <v/>
      </c>
      <c r="E582">
        <f>IF(A582="",0,D582*C582/100/(DATE(YEAR(A582)+1,1,1)-DATE(YEAR(A582),1,1)))</f>
        <v/>
      </c>
      <c r="F582">
        <f>IF(A582="",0,SUMIF(Rechner!$A$12:$A$21,A582,Rechner!$B$12:$B$21))</f>
        <v/>
      </c>
      <c r="G582">
        <f>H581+E582</f>
        <v/>
      </c>
      <c r="H582">
        <f>G582-MIN(F582,G582)</f>
        <v/>
      </c>
      <c r="I582">
        <f>MIN(F582-MIN(F582,G582),D582)</f>
        <v/>
      </c>
      <c r="J582">
        <f>D582-I582</f>
        <v/>
      </c>
      <c r="K582">
        <f>F582-MIN(F582,G582)-I582</f>
        <v/>
      </c>
    </row>
    <row r="583">
      <c r="A583" s="21">
        <f>IF(Rechner!$E$4&lt;&gt;"ok","",IF(Rechner!$E$5+581&lt;=Rechner!$B$6,Rechner!$E$5+581,""))</f>
        <v/>
      </c>
      <c r="B583">
        <f>IF(A583="","",LOOKUP(A583,Basiszins!$A$5:$A$18,Basiszins!$B$5:$B$18))</f>
        <v/>
      </c>
      <c r="C583">
        <f>IF(A583="","",B583+Rechner!$E$7)</f>
        <v/>
      </c>
      <c r="D583">
        <f>J582</f>
        <v/>
      </c>
      <c r="E583">
        <f>IF(A583="",0,D583*C583/100/(DATE(YEAR(A583)+1,1,1)-DATE(YEAR(A583),1,1)))</f>
        <v/>
      </c>
      <c r="F583">
        <f>IF(A583="",0,SUMIF(Rechner!$A$12:$A$21,A583,Rechner!$B$12:$B$21))</f>
        <v/>
      </c>
      <c r="G583">
        <f>H582+E583</f>
        <v/>
      </c>
      <c r="H583">
        <f>G583-MIN(F583,G583)</f>
        <v/>
      </c>
      <c r="I583">
        <f>MIN(F583-MIN(F583,G583),D583)</f>
        <v/>
      </c>
      <c r="J583">
        <f>D583-I583</f>
        <v/>
      </c>
      <c r="K583">
        <f>F583-MIN(F583,G583)-I583</f>
        <v/>
      </c>
    </row>
    <row r="584">
      <c r="A584" s="21">
        <f>IF(Rechner!$E$4&lt;&gt;"ok","",IF(Rechner!$E$5+582&lt;=Rechner!$B$6,Rechner!$E$5+582,""))</f>
        <v/>
      </c>
      <c r="B584">
        <f>IF(A584="","",LOOKUP(A584,Basiszins!$A$5:$A$18,Basiszins!$B$5:$B$18))</f>
        <v/>
      </c>
      <c r="C584">
        <f>IF(A584="","",B584+Rechner!$E$7)</f>
        <v/>
      </c>
      <c r="D584">
        <f>J583</f>
        <v/>
      </c>
      <c r="E584">
        <f>IF(A584="",0,D584*C584/100/(DATE(YEAR(A584)+1,1,1)-DATE(YEAR(A584),1,1)))</f>
        <v/>
      </c>
      <c r="F584">
        <f>IF(A584="",0,SUMIF(Rechner!$A$12:$A$21,A584,Rechner!$B$12:$B$21))</f>
        <v/>
      </c>
      <c r="G584">
        <f>H583+E584</f>
        <v/>
      </c>
      <c r="H584">
        <f>G584-MIN(F584,G584)</f>
        <v/>
      </c>
      <c r="I584">
        <f>MIN(F584-MIN(F584,G584),D584)</f>
        <v/>
      </c>
      <c r="J584">
        <f>D584-I584</f>
        <v/>
      </c>
      <c r="K584">
        <f>F584-MIN(F584,G584)-I584</f>
        <v/>
      </c>
    </row>
    <row r="585">
      <c r="A585" s="21">
        <f>IF(Rechner!$E$4&lt;&gt;"ok","",IF(Rechner!$E$5+583&lt;=Rechner!$B$6,Rechner!$E$5+583,""))</f>
        <v/>
      </c>
      <c r="B585">
        <f>IF(A585="","",LOOKUP(A585,Basiszins!$A$5:$A$18,Basiszins!$B$5:$B$18))</f>
        <v/>
      </c>
      <c r="C585">
        <f>IF(A585="","",B585+Rechner!$E$7)</f>
        <v/>
      </c>
      <c r="D585">
        <f>J584</f>
        <v/>
      </c>
      <c r="E585">
        <f>IF(A585="",0,D585*C585/100/(DATE(YEAR(A585)+1,1,1)-DATE(YEAR(A585),1,1)))</f>
        <v/>
      </c>
      <c r="F585">
        <f>IF(A585="",0,SUMIF(Rechner!$A$12:$A$21,A585,Rechner!$B$12:$B$21))</f>
        <v/>
      </c>
      <c r="G585">
        <f>H584+E585</f>
        <v/>
      </c>
      <c r="H585">
        <f>G585-MIN(F585,G585)</f>
        <v/>
      </c>
      <c r="I585">
        <f>MIN(F585-MIN(F585,G585),D585)</f>
        <v/>
      </c>
      <c r="J585">
        <f>D585-I585</f>
        <v/>
      </c>
      <c r="K585">
        <f>F585-MIN(F585,G585)-I585</f>
        <v/>
      </c>
    </row>
    <row r="586">
      <c r="A586" s="21">
        <f>IF(Rechner!$E$4&lt;&gt;"ok","",IF(Rechner!$E$5+584&lt;=Rechner!$B$6,Rechner!$E$5+584,""))</f>
        <v/>
      </c>
      <c r="B586">
        <f>IF(A586="","",LOOKUP(A586,Basiszins!$A$5:$A$18,Basiszins!$B$5:$B$18))</f>
        <v/>
      </c>
      <c r="C586">
        <f>IF(A586="","",B586+Rechner!$E$7)</f>
        <v/>
      </c>
      <c r="D586">
        <f>J585</f>
        <v/>
      </c>
      <c r="E586">
        <f>IF(A586="",0,D586*C586/100/(DATE(YEAR(A586)+1,1,1)-DATE(YEAR(A586),1,1)))</f>
        <v/>
      </c>
      <c r="F586">
        <f>IF(A586="",0,SUMIF(Rechner!$A$12:$A$21,A586,Rechner!$B$12:$B$21))</f>
        <v/>
      </c>
      <c r="G586">
        <f>H585+E586</f>
        <v/>
      </c>
      <c r="H586">
        <f>G586-MIN(F586,G586)</f>
        <v/>
      </c>
      <c r="I586">
        <f>MIN(F586-MIN(F586,G586),D586)</f>
        <v/>
      </c>
      <c r="J586">
        <f>D586-I586</f>
        <v/>
      </c>
      <c r="K586">
        <f>F586-MIN(F586,G586)-I586</f>
        <v/>
      </c>
    </row>
    <row r="587">
      <c r="A587" s="21">
        <f>IF(Rechner!$E$4&lt;&gt;"ok","",IF(Rechner!$E$5+585&lt;=Rechner!$B$6,Rechner!$E$5+585,""))</f>
        <v/>
      </c>
      <c r="B587">
        <f>IF(A587="","",LOOKUP(A587,Basiszins!$A$5:$A$18,Basiszins!$B$5:$B$18))</f>
        <v/>
      </c>
      <c r="C587">
        <f>IF(A587="","",B587+Rechner!$E$7)</f>
        <v/>
      </c>
      <c r="D587">
        <f>J586</f>
        <v/>
      </c>
      <c r="E587">
        <f>IF(A587="",0,D587*C587/100/(DATE(YEAR(A587)+1,1,1)-DATE(YEAR(A587),1,1)))</f>
        <v/>
      </c>
      <c r="F587">
        <f>IF(A587="",0,SUMIF(Rechner!$A$12:$A$21,A587,Rechner!$B$12:$B$21))</f>
        <v/>
      </c>
      <c r="G587">
        <f>H586+E587</f>
        <v/>
      </c>
      <c r="H587">
        <f>G587-MIN(F587,G587)</f>
        <v/>
      </c>
      <c r="I587">
        <f>MIN(F587-MIN(F587,G587),D587)</f>
        <v/>
      </c>
      <c r="J587">
        <f>D587-I587</f>
        <v/>
      </c>
      <c r="K587">
        <f>F587-MIN(F587,G587)-I587</f>
        <v/>
      </c>
    </row>
    <row r="588">
      <c r="A588" s="21">
        <f>IF(Rechner!$E$4&lt;&gt;"ok","",IF(Rechner!$E$5+586&lt;=Rechner!$B$6,Rechner!$E$5+586,""))</f>
        <v/>
      </c>
      <c r="B588">
        <f>IF(A588="","",LOOKUP(A588,Basiszins!$A$5:$A$18,Basiszins!$B$5:$B$18))</f>
        <v/>
      </c>
      <c r="C588">
        <f>IF(A588="","",B588+Rechner!$E$7)</f>
        <v/>
      </c>
      <c r="D588">
        <f>J587</f>
        <v/>
      </c>
      <c r="E588">
        <f>IF(A588="",0,D588*C588/100/(DATE(YEAR(A588)+1,1,1)-DATE(YEAR(A588),1,1)))</f>
        <v/>
      </c>
      <c r="F588">
        <f>IF(A588="",0,SUMIF(Rechner!$A$12:$A$21,A588,Rechner!$B$12:$B$21))</f>
        <v/>
      </c>
      <c r="G588">
        <f>H587+E588</f>
        <v/>
      </c>
      <c r="H588">
        <f>G588-MIN(F588,G588)</f>
        <v/>
      </c>
      <c r="I588">
        <f>MIN(F588-MIN(F588,G588),D588)</f>
        <v/>
      </c>
      <c r="J588">
        <f>D588-I588</f>
        <v/>
      </c>
      <c r="K588">
        <f>F588-MIN(F588,G588)-I588</f>
        <v/>
      </c>
    </row>
    <row r="589">
      <c r="A589" s="21">
        <f>IF(Rechner!$E$4&lt;&gt;"ok","",IF(Rechner!$E$5+587&lt;=Rechner!$B$6,Rechner!$E$5+587,""))</f>
        <v/>
      </c>
      <c r="B589">
        <f>IF(A589="","",LOOKUP(A589,Basiszins!$A$5:$A$18,Basiszins!$B$5:$B$18))</f>
        <v/>
      </c>
      <c r="C589">
        <f>IF(A589="","",B589+Rechner!$E$7)</f>
        <v/>
      </c>
      <c r="D589">
        <f>J588</f>
        <v/>
      </c>
      <c r="E589">
        <f>IF(A589="",0,D589*C589/100/(DATE(YEAR(A589)+1,1,1)-DATE(YEAR(A589),1,1)))</f>
        <v/>
      </c>
      <c r="F589">
        <f>IF(A589="",0,SUMIF(Rechner!$A$12:$A$21,A589,Rechner!$B$12:$B$21))</f>
        <v/>
      </c>
      <c r="G589">
        <f>H588+E589</f>
        <v/>
      </c>
      <c r="H589">
        <f>G589-MIN(F589,G589)</f>
        <v/>
      </c>
      <c r="I589">
        <f>MIN(F589-MIN(F589,G589),D589)</f>
        <v/>
      </c>
      <c r="J589">
        <f>D589-I589</f>
        <v/>
      </c>
      <c r="K589">
        <f>F589-MIN(F589,G589)-I589</f>
        <v/>
      </c>
    </row>
    <row r="590">
      <c r="A590" s="21">
        <f>IF(Rechner!$E$4&lt;&gt;"ok","",IF(Rechner!$E$5+588&lt;=Rechner!$B$6,Rechner!$E$5+588,""))</f>
        <v/>
      </c>
      <c r="B590">
        <f>IF(A590="","",LOOKUP(A590,Basiszins!$A$5:$A$18,Basiszins!$B$5:$B$18))</f>
        <v/>
      </c>
      <c r="C590">
        <f>IF(A590="","",B590+Rechner!$E$7)</f>
        <v/>
      </c>
      <c r="D590">
        <f>J589</f>
        <v/>
      </c>
      <c r="E590">
        <f>IF(A590="",0,D590*C590/100/(DATE(YEAR(A590)+1,1,1)-DATE(YEAR(A590),1,1)))</f>
        <v/>
      </c>
      <c r="F590">
        <f>IF(A590="",0,SUMIF(Rechner!$A$12:$A$21,A590,Rechner!$B$12:$B$21))</f>
        <v/>
      </c>
      <c r="G590">
        <f>H589+E590</f>
        <v/>
      </c>
      <c r="H590">
        <f>G590-MIN(F590,G590)</f>
        <v/>
      </c>
      <c r="I590">
        <f>MIN(F590-MIN(F590,G590),D590)</f>
        <v/>
      </c>
      <c r="J590">
        <f>D590-I590</f>
        <v/>
      </c>
      <c r="K590">
        <f>F590-MIN(F590,G590)-I590</f>
        <v/>
      </c>
    </row>
    <row r="591">
      <c r="A591" s="21">
        <f>IF(Rechner!$E$4&lt;&gt;"ok","",IF(Rechner!$E$5+589&lt;=Rechner!$B$6,Rechner!$E$5+589,""))</f>
        <v/>
      </c>
      <c r="B591">
        <f>IF(A591="","",LOOKUP(A591,Basiszins!$A$5:$A$18,Basiszins!$B$5:$B$18))</f>
        <v/>
      </c>
      <c r="C591">
        <f>IF(A591="","",B591+Rechner!$E$7)</f>
        <v/>
      </c>
      <c r="D591">
        <f>J590</f>
        <v/>
      </c>
      <c r="E591">
        <f>IF(A591="",0,D591*C591/100/(DATE(YEAR(A591)+1,1,1)-DATE(YEAR(A591),1,1)))</f>
        <v/>
      </c>
      <c r="F591">
        <f>IF(A591="",0,SUMIF(Rechner!$A$12:$A$21,A591,Rechner!$B$12:$B$21))</f>
        <v/>
      </c>
      <c r="G591">
        <f>H590+E591</f>
        <v/>
      </c>
      <c r="H591">
        <f>G591-MIN(F591,G591)</f>
        <v/>
      </c>
      <c r="I591">
        <f>MIN(F591-MIN(F591,G591),D591)</f>
        <v/>
      </c>
      <c r="J591">
        <f>D591-I591</f>
        <v/>
      </c>
      <c r="K591">
        <f>F591-MIN(F591,G591)-I591</f>
        <v/>
      </c>
    </row>
    <row r="592">
      <c r="A592" s="21">
        <f>IF(Rechner!$E$4&lt;&gt;"ok","",IF(Rechner!$E$5+590&lt;=Rechner!$B$6,Rechner!$E$5+590,""))</f>
        <v/>
      </c>
      <c r="B592">
        <f>IF(A592="","",LOOKUP(A592,Basiszins!$A$5:$A$18,Basiszins!$B$5:$B$18))</f>
        <v/>
      </c>
      <c r="C592">
        <f>IF(A592="","",B592+Rechner!$E$7)</f>
        <v/>
      </c>
      <c r="D592">
        <f>J591</f>
        <v/>
      </c>
      <c r="E592">
        <f>IF(A592="",0,D592*C592/100/(DATE(YEAR(A592)+1,1,1)-DATE(YEAR(A592),1,1)))</f>
        <v/>
      </c>
      <c r="F592">
        <f>IF(A592="",0,SUMIF(Rechner!$A$12:$A$21,A592,Rechner!$B$12:$B$21))</f>
        <v/>
      </c>
      <c r="G592">
        <f>H591+E592</f>
        <v/>
      </c>
      <c r="H592">
        <f>G592-MIN(F592,G592)</f>
        <v/>
      </c>
      <c r="I592">
        <f>MIN(F592-MIN(F592,G592),D592)</f>
        <v/>
      </c>
      <c r="J592">
        <f>D592-I592</f>
        <v/>
      </c>
      <c r="K592">
        <f>F592-MIN(F592,G592)-I592</f>
        <v/>
      </c>
    </row>
    <row r="593">
      <c r="A593" s="21">
        <f>IF(Rechner!$E$4&lt;&gt;"ok","",IF(Rechner!$E$5+591&lt;=Rechner!$B$6,Rechner!$E$5+591,""))</f>
        <v/>
      </c>
      <c r="B593">
        <f>IF(A593="","",LOOKUP(A593,Basiszins!$A$5:$A$18,Basiszins!$B$5:$B$18))</f>
        <v/>
      </c>
      <c r="C593">
        <f>IF(A593="","",B593+Rechner!$E$7)</f>
        <v/>
      </c>
      <c r="D593">
        <f>J592</f>
        <v/>
      </c>
      <c r="E593">
        <f>IF(A593="",0,D593*C593/100/(DATE(YEAR(A593)+1,1,1)-DATE(YEAR(A593),1,1)))</f>
        <v/>
      </c>
      <c r="F593">
        <f>IF(A593="",0,SUMIF(Rechner!$A$12:$A$21,A593,Rechner!$B$12:$B$21))</f>
        <v/>
      </c>
      <c r="G593">
        <f>H592+E593</f>
        <v/>
      </c>
      <c r="H593">
        <f>G593-MIN(F593,G593)</f>
        <v/>
      </c>
      <c r="I593">
        <f>MIN(F593-MIN(F593,G593),D593)</f>
        <v/>
      </c>
      <c r="J593">
        <f>D593-I593</f>
        <v/>
      </c>
      <c r="K593">
        <f>F593-MIN(F593,G593)-I593</f>
        <v/>
      </c>
    </row>
    <row r="594">
      <c r="A594" s="21">
        <f>IF(Rechner!$E$4&lt;&gt;"ok","",IF(Rechner!$E$5+592&lt;=Rechner!$B$6,Rechner!$E$5+592,""))</f>
        <v/>
      </c>
      <c r="B594">
        <f>IF(A594="","",LOOKUP(A594,Basiszins!$A$5:$A$18,Basiszins!$B$5:$B$18))</f>
        <v/>
      </c>
      <c r="C594">
        <f>IF(A594="","",B594+Rechner!$E$7)</f>
        <v/>
      </c>
      <c r="D594">
        <f>J593</f>
        <v/>
      </c>
      <c r="E594">
        <f>IF(A594="",0,D594*C594/100/(DATE(YEAR(A594)+1,1,1)-DATE(YEAR(A594),1,1)))</f>
        <v/>
      </c>
      <c r="F594">
        <f>IF(A594="",0,SUMIF(Rechner!$A$12:$A$21,A594,Rechner!$B$12:$B$21))</f>
        <v/>
      </c>
      <c r="G594">
        <f>H593+E594</f>
        <v/>
      </c>
      <c r="H594">
        <f>G594-MIN(F594,G594)</f>
        <v/>
      </c>
      <c r="I594">
        <f>MIN(F594-MIN(F594,G594),D594)</f>
        <v/>
      </c>
      <c r="J594">
        <f>D594-I594</f>
        <v/>
      </c>
      <c r="K594">
        <f>F594-MIN(F594,G594)-I594</f>
        <v/>
      </c>
    </row>
    <row r="595">
      <c r="A595" s="21">
        <f>IF(Rechner!$E$4&lt;&gt;"ok","",IF(Rechner!$E$5+593&lt;=Rechner!$B$6,Rechner!$E$5+593,""))</f>
        <v/>
      </c>
      <c r="B595">
        <f>IF(A595="","",LOOKUP(A595,Basiszins!$A$5:$A$18,Basiszins!$B$5:$B$18))</f>
        <v/>
      </c>
      <c r="C595">
        <f>IF(A595="","",B595+Rechner!$E$7)</f>
        <v/>
      </c>
      <c r="D595">
        <f>J594</f>
        <v/>
      </c>
      <c r="E595">
        <f>IF(A595="",0,D595*C595/100/(DATE(YEAR(A595)+1,1,1)-DATE(YEAR(A595),1,1)))</f>
        <v/>
      </c>
      <c r="F595">
        <f>IF(A595="",0,SUMIF(Rechner!$A$12:$A$21,A595,Rechner!$B$12:$B$21))</f>
        <v/>
      </c>
      <c r="G595">
        <f>H594+E595</f>
        <v/>
      </c>
      <c r="H595">
        <f>G595-MIN(F595,G595)</f>
        <v/>
      </c>
      <c r="I595">
        <f>MIN(F595-MIN(F595,G595),D595)</f>
        <v/>
      </c>
      <c r="J595">
        <f>D595-I595</f>
        <v/>
      </c>
      <c r="K595">
        <f>F595-MIN(F595,G595)-I595</f>
        <v/>
      </c>
    </row>
    <row r="596">
      <c r="A596" s="21">
        <f>IF(Rechner!$E$4&lt;&gt;"ok","",IF(Rechner!$E$5+594&lt;=Rechner!$B$6,Rechner!$E$5+594,""))</f>
        <v/>
      </c>
      <c r="B596">
        <f>IF(A596="","",LOOKUP(A596,Basiszins!$A$5:$A$18,Basiszins!$B$5:$B$18))</f>
        <v/>
      </c>
      <c r="C596">
        <f>IF(A596="","",B596+Rechner!$E$7)</f>
        <v/>
      </c>
      <c r="D596">
        <f>J595</f>
        <v/>
      </c>
      <c r="E596">
        <f>IF(A596="",0,D596*C596/100/(DATE(YEAR(A596)+1,1,1)-DATE(YEAR(A596),1,1)))</f>
        <v/>
      </c>
      <c r="F596">
        <f>IF(A596="",0,SUMIF(Rechner!$A$12:$A$21,A596,Rechner!$B$12:$B$21))</f>
        <v/>
      </c>
      <c r="G596">
        <f>H595+E596</f>
        <v/>
      </c>
      <c r="H596">
        <f>G596-MIN(F596,G596)</f>
        <v/>
      </c>
      <c r="I596">
        <f>MIN(F596-MIN(F596,G596),D596)</f>
        <v/>
      </c>
      <c r="J596">
        <f>D596-I596</f>
        <v/>
      </c>
      <c r="K596">
        <f>F596-MIN(F596,G596)-I596</f>
        <v/>
      </c>
    </row>
    <row r="597">
      <c r="A597" s="21">
        <f>IF(Rechner!$E$4&lt;&gt;"ok","",IF(Rechner!$E$5+595&lt;=Rechner!$B$6,Rechner!$E$5+595,""))</f>
        <v/>
      </c>
      <c r="B597">
        <f>IF(A597="","",LOOKUP(A597,Basiszins!$A$5:$A$18,Basiszins!$B$5:$B$18))</f>
        <v/>
      </c>
      <c r="C597">
        <f>IF(A597="","",B597+Rechner!$E$7)</f>
        <v/>
      </c>
      <c r="D597">
        <f>J596</f>
        <v/>
      </c>
      <c r="E597">
        <f>IF(A597="",0,D597*C597/100/(DATE(YEAR(A597)+1,1,1)-DATE(YEAR(A597),1,1)))</f>
        <v/>
      </c>
      <c r="F597">
        <f>IF(A597="",0,SUMIF(Rechner!$A$12:$A$21,A597,Rechner!$B$12:$B$21))</f>
        <v/>
      </c>
      <c r="G597">
        <f>H596+E597</f>
        <v/>
      </c>
      <c r="H597">
        <f>G597-MIN(F597,G597)</f>
        <v/>
      </c>
      <c r="I597">
        <f>MIN(F597-MIN(F597,G597),D597)</f>
        <v/>
      </c>
      <c r="J597">
        <f>D597-I597</f>
        <v/>
      </c>
      <c r="K597">
        <f>F597-MIN(F597,G597)-I597</f>
        <v/>
      </c>
    </row>
    <row r="598">
      <c r="A598" s="21">
        <f>IF(Rechner!$E$4&lt;&gt;"ok","",IF(Rechner!$E$5+596&lt;=Rechner!$B$6,Rechner!$E$5+596,""))</f>
        <v/>
      </c>
      <c r="B598">
        <f>IF(A598="","",LOOKUP(A598,Basiszins!$A$5:$A$18,Basiszins!$B$5:$B$18))</f>
        <v/>
      </c>
      <c r="C598">
        <f>IF(A598="","",B598+Rechner!$E$7)</f>
        <v/>
      </c>
      <c r="D598">
        <f>J597</f>
        <v/>
      </c>
      <c r="E598">
        <f>IF(A598="",0,D598*C598/100/(DATE(YEAR(A598)+1,1,1)-DATE(YEAR(A598),1,1)))</f>
        <v/>
      </c>
      <c r="F598">
        <f>IF(A598="",0,SUMIF(Rechner!$A$12:$A$21,A598,Rechner!$B$12:$B$21))</f>
        <v/>
      </c>
      <c r="G598">
        <f>H597+E598</f>
        <v/>
      </c>
      <c r="H598">
        <f>G598-MIN(F598,G598)</f>
        <v/>
      </c>
      <c r="I598">
        <f>MIN(F598-MIN(F598,G598),D598)</f>
        <v/>
      </c>
      <c r="J598">
        <f>D598-I598</f>
        <v/>
      </c>
      <c r="K598">
        <f>F598-MIN(F598,G598)-I598</f>
        <v/>
      </c>
    </row>
    <row r="599">
      <c r="A599" s="21">
        <f>IF(Rechner!$E$4&lt;&gt;"ok","",IF(Rechner!$E$5+597&lt;=Rechner!$B$6,Rechner!$E$5+597,""))</f>
        <v/>
      </c>
      <c r="B599">
        <f>IF(A599="","",LOOKUP(A599,Basiszins!$A$5:$A$18,Basiszins!$B$5:$B$18))</f>
        <v/>
      </c>
      <c r="C599">
        <f>IF(A599="","",B599+Rechner!$E$7)</f>
        <v/>
      </c>
      <c r="D599">
        <f>J598</f>
        <v/>
      </c>
      <c r="E599">
        <f>IF(A599="",0,D599*C599/100/(DATE(YEAR(A599)+1,1,1)-DATE(YEAR(A599),1,1)))</f>
        <v/>
      </c>
      <c r="F599">
        <f>IF(A599="",0,SUMIF(Rechner!$A$12:$A$21,A599,Rechner!$B$12:$B$21))</f>
        <v/>
      </c>
      <c r="G599">
        <f>H598+E599</f>
        <v/>
      </c>
      <c r="H599">
        <f>G599-MIN(F599,G599)</f>
        <v/>
      </c>
      <c r="I599">
        <f>MIN(F599-MIN(F599,G599),D599)</f>
        <v/>
      </c>
      <c r="J599">
        <f>D599-I599</f>
        <v/>
      </c>
      <c r="K599">
        <f>F599-MIN(F599,G599)-I599</f>
        <v/>
      </c>
    </row>
    <row r="600">
      <c r="A600" s="21">
        <f>IF(Rechner!$E$4&lt;&gt;"ok","",IF(Rechner!$E$5+598&lt;=Rechner!$B$6,Rechner!$E$5+598,""))</f>
        <v/>
      </c>
      <c r="B600">
        <f>IF(A600="","",LOOKUP(A600,Basiszins!$A$5:$A$18,Basiszins!$B$5:$B$18))</f>
        <v/>
      </c>
      <c r="C600">
        <f>IF(A600="","",B600+Rechner!$E$7)</f>
        <v/>
      </c>
      <c r="D600">
        <f>J599</f>
        <v/>
      </c>
      <c r="E600">
        <f>IF(A600="",0,D600*C600/100/(DATE(YEAR(A600)+1,1,1)-DATE(YEAR(A600),1,1)))</f>
        <v/>
      </c>
      <c r="F600">
        <f>IF(A600="",0,SUMIF(Rechner!$A$12:$A$21,A600,Rechner!$B$12:$B$21))</f>
        <v/>
      </c>
      <c r="G600">
        <f>H599+E600</f>
        <v/>
      </c>
      <c r="H600">
        <f>G600-MIN(F600,G600)</f>
        <v/>
      </c>
      <c r="I600">
        <f>MIN(F600-MIN(F600,G600),D600)</f>
        <v/>
      </c>
      <c r="J600">
        <f>D600-I600</f>
        <v/>
      </c>
      <c r="K600">
        <f>F600-MIN(F600,G600)-I600</f>
        <v/>
      </c>
    </row>
    <row r="601">
      <c r="A601" s="21">
        <f>IF(Rechner!$E$4&lt;&gt;"ok","",IF(Rechner!$E$5+599&lt;=Rechner!$B$6,Rechner!$E$5+599,""))</f>
        <v/>
      </c>
      <c r="B601">
        <f>IF(A601="","",LOOKUP(A601,Basiszins!$A$5:$A$18,Basiszins!$B$5:$B$18))</f>
        <v/>
      </c>
      <c r="C601">
        <f>IF(A601="","",B601+Rechner!$E$7)</f>
        <v/>
      </c>
      <c r="D601">
        <f>J600</f>
        <v/>
      </c>
      <c r="E601">
        <f>IF(A601="",0,D601*C601/100/(DATE(YEAR(A601)+1,1,1)-DATE(YEAR(A601),1,1)))</f>
        <v/>
      </c>
      <c r="F601">
        <f>IF(A601="",0,SUMIF(Rechner!$A$12:$A$21,A601,Rechner!$B$12:$B$21))</f>
        <v/>
      </c>
      <c r="G601">
        <f>H600+E601</f>
        <v/>
      </c>
      <c r="H601">
        <f>G601-MIN(F601,G601)</f>
        <v/>
      </c>
      <c r="I601">
        <f>MIN(F601-MIN(F601,G601),D601)</f>
        <v/>
      </c>
      <c r="J601">
        <f>D601-I601</f>
        <v/>
      </c>
      <c r="K601">
        <f>F601-MIN(F601,G601)-I601</f>
        <v/>
      </c>
    </row>
    <row r="602">
      <c r="A602" s="21">
        <f>IF(Rechner!$E$4&lt;&gt;"ok","",IF(Rechner!$E$5+600&lt;=Rechner!$B$6,Rechner!$E$5+600,""))</f>
        <v/>
      </c>
      <c r="B602">
        <f>IF(A602="","",LOOKUP(A602,Basiszins!$A$5:$A$18,Basiszins!$B$5:$B$18))</f>
        <v/>
      </c>
      <c r="C602">
        <f>IF(A602="","",B602+Rechner!$E$7)</f>
        <v/>
      </c>
      <c r="D602">
        <f>J601</f>
        <v/>
      </c>
      <c r="E602">
        <f>IF(A602="",0,D602*C602/100/(DATE(YEAR(A602)+1,1,1)-DATE(YEAR(A602),1,1)))</f>
        <v/>
      </c>
      <c r="F602">
        <f>IF(A602="",0,SUMIF(Rechner!$A$12:$A$21,A602,Rechner!$B$12:$B$21))</f>
        <v/>
      </c>
      <c r="G602">
        <f>H601+E602</f>
        <v/>
      </c>
      <c r="H602">
        <f>G602-MIN(F602,G602)</f>
        <v/>
      </c>
      <c r="I602">
        <f>MIN(F602-MIN(F602,G602),D602)</f>
        <v/>
      </c>
      <c r="J602">
        <f>D602-I602</f>
        <v/>
      </c>
      <c r="K602">
        <f>F602-MIN(F602,G602)-I602</f>
        <v/>
      </c>
    </row>
    <row r="603">
      <c r="A603" s="21">
        <f>IF(Rechner!$E$4&lt;&gt;"ok","",IF(Rechner!$E$5+601&lt;=Rechner!$B$6,Rechner!$E$5+601,""))</f>
        <v/>
      </c>
      <c r="B603">
        <f>IF(A603="","",LOOKUP(A603,Basiszins!$A$5:$A$18,Basiszins!$B$5:$B$18))</f>
        <v/>
      </c>
      <c r="C603">
        <f>IF(A603="","",B603+Rechner!$E$7)</f>
        <v/>
      </c>
      <c r="D603">
        <f>J602</f>
        <v/>
      </c>
      <c r="E603">
        <f>IF(A603="",0,D603*C603/100/(DATE(YEAR(A603)+1,1,1)-DATE(YEAR(A603),1,1)))</f>
        <v/>
      </c>
      <c r="F603">
        <f>IF(A603="",0,SUMIF(Rechner!$A$12:$A$21,A603,Rechner!$B$12:$B$21))</f>
        <v/>
      </c>
      <c r="G603">
        <f>H602+E603</f>
        <v/>
      </c>
      <c r="H603">
        <f>G603-MIN(F603,G603)</f>
        <v/>
      </c>
      <c r="I603">
        <f>MIN(F603-MIN(F603,G603),D603)</f>
        <v/>
      </c>
      <c r="J603">
        <f>D603-I603</f>
        <v/>
      </c>
      <c r="K603">
        <f>F603-MIN(F603,G603)-I603</f>
        <v/>
      </c>
    </row>
    <row r="604">
      <c r="A604" s="21">
        <f>IF(Rechner!$E$4&lt;&gt;"ok","",IF(Rechner!$E$5+602&lt;=Rechner!$B$6,Rechner!$E$5+602,""))</f>
        <v/>
      </c>
      <c r="B604">
        <f>IF(A604="","",LOOKUP(A604,Basiszins!$A$5:$A$18,Basiszins!$B$5:$B$18))</f>
        <v/>
      </c>
      <c r="C604">
        <f>IF(A604="","",B604+Rechner!$E$7)</f>
        <v/>
      </c>
      <c r="D604">
        <f>J603</f>
        <v/>
      </c>
      <c r="E604">
        <f>IF(A604="",0,D604*C604/100/(DATE(YEAR(A604)+1,1,1)-DATE(YEAR(A604),1,1)))</f>
        <v/>
      </c>
      <c r="F604">
        <f>IF(A604="",0,SUMIF(Rechner!$A$12:$A$21,A604,Rechner!$B$12:$B$21))</f>
        <v/>
      </c>
      <c r="G604">
        <f>H603+E604</f>
        <v/>
      </c>
      <c r="H604">
        <f>G604-MIN(F604,G604)</f>
        <v/>
      </c>
      <c r="I604">
        <f>MIN(F604-MIN(F604,G604),D604)</f>
        <v/>
      </c>
      <c r="J604">
        <f>D604-I604</f>
        <v/>
      </c>
      <c r="K604">
        <f>F604-MIN(F604,G604)-I604</f>
        <v/>
      </c>
    </row>
    <row r="605">
      <c r="A605" s="21">
        <f>IF(Rechner!$E$4&lt;&gt;"ok","",IF(Rechner!$E$5+603&lt;=Rechner!$B$6,Rechner!$E$5+603,""))</f>
        <v/>
      </c>
      <c r="B605">
        <f>IF(A605="","",LOOKUP(A605,Basiszins!$A$5:$A$18,Basiszins!$B$5:$B$18))</f>
        <v/>
      </c>
      <c r="C605">
        <f>IF(A605="","",B605+Rechner!$E$7)</f>
        <v/>
      </c>
      <c r="D605">
        <f>J604</f>
        <v/>
      </c>
      <c r="E605">
        <f>IF(A605="",0,D605*C605/100/(DATE(YEAR(A605)+1,1,1)-DATE(YEAR(A605),1,1)))</f>
        <v/>
      </c>
      <c r="F605">
        <f>IF(A605="",0,SUMIF(Rechner!$A$12:$A$21,A605,Rechner!$B$12:$B$21))</f>
        <v/>
      </c>
      <c r="G605">
        <f>H604+E605</f>
        <v/>
      </c>
      <c r="H605">
        <f>G605-MIN(F605,G605)</f>
        <v/>
      </c>
      <c r="I605">
        <f>MIN(F605-MIN(F605,G605),D605)</f>
        <v/>
      </c>
      <c r="J605">
        <f>D605-I605</f>
        <v/>
      </c>
      <c r="K605">
        <f>F605-MIN(F605,G605)-I605</f>
        <v/>
      </c>
    </row>
    <row r="606">
      <c r="A606" s="21">
        <f>IF(Rechner!$E$4&lt;&gt;"ok","",IF(Rechner!$E$5+604&lt;=Rechner!$B$6,Rechner!$E$5+604,""))</f>
        <v/>
      </c>
      <c r="B606">
        <f>IF(A606="","",LOOKUP(A606,Basiszins!$A$5:$A$18,Basiszins!$B$5:$B$18))</f>
        <v/>
      </c>
      <c r="C606">
        <f>IF(A606="","",B606+Rechner!$E$7)</f>
        <v/>
      </c>
      <c r="D606">
        <f>J605</f>
        <v/>
      </c>
      <c r="E606">
        <f>IF(A606="",0,D606*C606/100/(DATE(YEAR(A606)+1,1,1)-DATE(YEAR(A606),1,1)))</f>
        <v/>
      </c>
      <c r="F606">
        <f>IF(A606="",0,SUMIF(Rechner!$A$12:$A$21,A606,Rechner!$B$12:$B$21))</f>
        <v/>
      </c>
      <c r="G606">
        <f>H605+E606</f>
        <v/>
      </c>
      <c r="H606">
        <f>G606-MIN(F606,G606)</f>
        <v/>
      </c>
      <c r="I606">
        <f>MIN(F606-MIN(F606,G606),D606)</f>
        <v/>
      </c>
      <c r="J606">
        <f>D606-I606</f>
        <v/>
      </c>
      <c r="K606">
        <f>F606-MIN(F606,G606)-I606</f>
        <v/>
      </c>
    </row>
    <row r="607">
      <c r="A607" s="21">
        <f>IF(Rechner!$E$4&lt;&gt;"ok","",IF(Rechner!$E$5+605&lt;=Rechner!$B$6,Rechner!$E$5+605,""))</f>
        <v/>
      </c>
      <c r="B607">
        <f>IF(A607="","",LOOKUP(A607,Basiszins!$A$5:$A$18,Basiszins!$B$5:$B$18))</f>
        <v/>
      </c>
      <c r="C607">
        <f>IF(A607="","",B607+Rechner!$E$7)</f>
        <v/>
      </c>
      <c r="D607">
        <f>J606</f>
        <v/>
      </c>
      <c r="E607">
        <f>IF(A607="",0,D607*C607/100/(DATE(YEAR(A607)+1,1,1)-DATE(YEAR(A607),1,1)))</f>
        <v/>
      </c>
      <c r="F607">
        <f>IF(A607="",0,SUMIF(Rechner!$A$12:$A$21,A607,Rechner!$B$12:$B$21))</f>
        <v/>
      </c>
      <c r="G607">
        <f>H606+E607</f>
        <v/>
      </c>
      <c r="H607">
        <f>G607-MIN(F607,G607)</f>
        <v/>
      </c>
      <c r="I607">
        <f>MIN(F607-MIN(F607,G607),D607)</f>
        <v/>
      </c>
      <c r="J607">
        <f>D607-I607</f>
        <v/>
      </c>
      <c r="K607">
        <f>F607-MIN(F607,G607)-I607</f>
        <v/>
      </c>
    </row>
    <row r="608">
      <c r="A608" s="21">
        <f>IF(Rechner!$E$4&lt;&gt;"ok","",IF(Rechner!$E$5+606&lt;=Rechner!$B$6,Rechner!$E$5+606,""))</f>
        <v/>
      </c>
      <c r="B608">
        <f>IF(A608="","",LOOKUP(A608,Basiszins!$A$5:$A$18,Basiszins!$B$5:$B$18))</f>
        <v/>
      </c>
      <c r="C608">
        <f>IF(A608="","",B608+Rechner!$E$7)</f>
        <v/>
      </c>
      <c r="D608">
        <f>J607</f>
        <v/>
      </c>
      <c r="E608">
        <f>IF(A608="",0,D608*C608/100/(DATE(YEAR(A608)+1,1,1)-DATE(YEAR(A608),1,1)))</f>
        <v/>
      </c>
      <c r="F608">
        <f>IF(A608="",0,SUMIF(Rechner!$A$12:$A$21,A608,Rechner!$B$12:$B$21))</f>
        <v/>
      </c>
      <c r="G608">
        <f>H607+E608</f>
        <v/>
      </c>
      <c r="H608">
        <f>G608-MIN(F608,G608)</f>
        <v/>
      </c>
      <c r="I608">
        <f>MIN(F608-MIN(F608,G608),D608)</f>
        <v/>
      </c>
      <c r="J608">
        <f>D608-I608</f>
        <v/>
      </c>
      <c r="K608">
        <f>F608-MIN(F608,G608)-I608</f>
        <v/>
      </c>
    </row>
    <row r="609">
      <c r="A609" s="21">
        <f>IF(Rechner!$E$4&lt;&gt;"ok","",IF(Rechner!$E$5+607&lt;=Rechner!$B$6,Rechner!$E$5+607,""))</f>
        <v/>
      </c>
      <c r="B609">
        <f>IF(A609="","",LOOKUP(A609,Basiszins!$A$5:$A$18,Basiszins!$B$5:$B$18))</f>
        <v/>
      </c>
      <c r="C609">
        <f>IF(A609="","",B609+Rechner!$E$7)</f>
        <v/>
      </c>
      <c r="D609">
        <f>J608</f>
        <v/>
      </c>
      <c r="E609">
        <f>IF(A609="",0,D609*C609/100/(DATE(YEAR(A609)+1,1,1)-DATE(YEAR(A609),1,1)))</f>
        <v/>
      </c>
      <c r="F609">
        <f>IF(A609="",0,SUMIF(Rechner!$A$12:$A$21,A609,Rechner!$B$12:$B$21))</f>
        <v/>
      </c>
      <c r="G609">
        <f>H608+E609</f>
        <v/>
      </c>
      <c r="H609">
        <f>G609-MIN(F609,G609)</f>
        <v/>
      </c>
      <c r="I609">
        <f>MIN(F609-MIN(F609,G609),D609)</f>
        <v/>
      </c>
      <c r="J609">
        <f>D609-I609</f>
        <v/>
      </c>
      <c r="K609">
        <f>F609-MIN(F609,G609)-I609</f>
        <v/>
      </c>
    </row>
    <row r="610">
      <c r="A610" s="21">
        <f>IF(Rechner!$E$4&lt;&gt;"ok","",IF(Rechner!$E$5+608&lt;=Rechner!$B$6,Rechner!$E$5+608,""))</f>
        <v/>
      </c>
      <c r="B610">
        <f>IF(A610="","",LOOKUP(A610,Basiszins!$A$5:$A$18,Basiszins!$B$5:$B$18))</f>
        <v/>
      </c>
      <c r="C610">
        <f>IF(A610="","",B610+Rechner!$E$7)</f>
        <v/>
      </c>
      <c r="D610">
        <f>J609</f>
        <v/>
      </c>
      <c r="E610">
        <f>IF(A610="",0,D610*C610/100/(DATE(YEAR(A610)+1,1,1)-DATE(YEAR(A610),1,1)))</f>
        <v/>
      </c>
      <c r="F610">
        <f>IF(A610="",0,SUMIF(Rechner!$A$12:$A$21,A610,Rechner!$B$12:$B$21))</f>
        <v/>
      </c>
      <c r="G610">
        <f>H609+E610</f>
        <v/>
      </c>
      <c r="H610">
        <f>G610-MIN(F610,G610)</f>
        <v/>
      </c>
      <c r="I610">
        <f>MIN(F610-MIN(F610,G610),D610)</f>
        <v/>
      </c>
      <c r="J610">
        <f>D610-I610</f>
        <v/>
      </c>
      <c r="K610">
        <f>F610-MIN(F610,G610)-I610</f>
        <v/>
      </c>
    </row>
    <row r="611">
      <c r="A611" s="21">
        <f>IF(Rechner!$E$4&lt;&gt;"ok","",IF(Rechner!$E$5+609&lt;=Rechner!$B$6,Rechner!$E$5+609,""))</f>
        <v/>
      </c>
      <c r="B611">
        <f>IF(A611="","",LOOKUP(A611,Basiszins!$A$5:$A$18,Basiszins!$B$5:$B$18))</f>
        <v/>
      </c>
      <c r="C611">
        <f>IF(A611="","",B611+Rechner!$E$7)</f>
        <v/>
      </c>
      <c r="D611">
        <f>J610</f>
        <v/>
      </c>
      <c r="E611">
        <f>IF(A611="",0,D611*C611/100/(DATE(YEAR(A611)+1,1,1)-DATE(YEAR(A611),1,1)))</f>
        <v/>
      </c>
      <c r="F611">
        <f>IF(A611="",0,SUMIF(Rechner!$A$12:$A$21,A611,Rechner!$B$12:$B$21))</f>
        <v/>
      </c>
      <c r="G611">
        <f>H610+E611</f>
        <v/>
      </c>
      <c r="H611">
        <f>G611-MIN(F611,G611)</f>
        <v/>
      </c>
      <c r="I611">
        <f>MIN(F611-MIN(F611,G611),D611)</f>
        <v/>
      </c>
      <c r="J611">
        <f>D611-I611</f>
        <v/>
      </c>
      <c r="K611">
        <f>F611-MIN(F611,G611)-I611</f>
        <v/>
      </c>
    </row>
    <row r="612">
      <c r="A612" s="21">
        <f>IF(Rechner!$E$4&lt;&gt;"ok","",IF(Rechner!$E$5+610&lt;=Rechner!$B$6,Rechner!$E$5+610,""))</f>
        <v/>
      </c>
      <c r="B612">
        <f>IF(A612="","",LOOKUP(A612,Basiszins!$A$5:$A$18,Basiszins!$B$5:$B$18))</f>
        <v/>
      </c>
      <c r="C612">
        <f>IF(A612="","",B612+Rechner!$E$7)</f>
        <v/>
      </c>
      <c r="D612">
        <f>J611</f>
        <v/>
      </c>
      <c r="E612">
        <f>IF(A612="",0,D612*C612/100/(DATE(YEAR(A612)+1,1,1)-DATE(YEAR(A612),1,1)))</f>
        <v/>
      </c>
      <c r="F612">
        <f>IF(A612="",0,SUMIF(Rechner!$A$12:$A$21,A612,Rechner!$B$12:$B$21))</f>
        <v/>
      </c>
      <c r="G612">
        <f>H611+E612</f>
        <v/>
      </c>
      <c r="H612">
        <f>G612-MIN(F612,G612)</f>
        <v/>
      </c>
      <c r="I612">
        <f>MIN(F612-MIN(F612,G612),D612)</f>
        <v/>
      </c>
      <c r="J612">
        <f>D612-I612</f>
        <v/>
      </c>
      <c r="K612">
        <f>F612-MIN(F612,G612)-I612</f>
        <v/>
      </c>
    </row>
    <row r="613">
      <c r="A613" s="21">
        <f>IF(Rechner!$E$4&lt;&gt;"ok","",IF(Rechner!$E$5+611&lt;=Rechner!$B$6,Rechner!$E$5+611,""))</f>
        <v/>
      </c>
      <c r="B613">
        <f>IF(A613="","",LOOKUP(A613,Basiszins!$A$5:$A$18,Basiszins!$B$5:$B$18))</f>
        <v/>
      </c>
      <c r="C613">
        <f>IF(A613="","",B613+Rechner!$E$7)</f>
        <v/>
      </c>
      <c r="D613">
        <f>J612</f>
        <v/>
      </c>
      <c r="E613">
        <f>IF(A613="",0,D613*C613/100/(DATE(YEAR(A613)+1,1,1)-DATE(YEAR(A613),1,1)))</f>
        <v/>
      </c>
      <c r="F613">
        <f>IF(A613="",0,SUMIF(Rechner!$A$12:$A$21,A613,Rechner!$B$12:$B$21))</f>
        <v/>
      </c>
      <c r="G613">
        <f>H612+E613</f>
        <v/>
      </c>
      <c r="H613">
        <f>G613-MIN(F613,G613)</f>
        <v/>
      </c>
      <c r="I613">
        <f>MIN(F613-MIN(F613,G613),D613)</f>
        <v/>
      </c>
      <c r="J613">
        <f>D613-I613</f>
        <v/>
      </c>
      <c r="K613">
        <f>F613-MIN(F613,G613)-I613</f>
        <v/>
      </c>
    </row>
    <row r="614">
      <c r="A614" s="21">
        <f>IF(Rechner!$E$4&lt;&gt;"ok","",IF(Rechner!$E$5+612&lt;=Rechner!$B$6,Rechner!$E$5+612,""))</f>
        <v/>
      </c>
      <c r="B614">
        <f>IF(A614="","",LOOKUP(A614,Basiszins!$A$5:$A$18,Basiszins!$B$5:$B$18))</f>
        <v/>
      </c>
      <c r="C614">
        <f>IF(A614="","",B614+Rechner!$E$7)</f>
        <v/>
      </c>
      <c r="D614">
        <f>J613</f>
        <v/>
      </c>
      <c r="E614">
        <f>IF(A614="",0,D614*C614/100/(DATE(YEAR(A614)+1,1,1)-DATE(YEAR(A614),1,1)))</f>
        <v/>
      </c>
      <c r="F614">
        <f>IF(A614="",0,SUMIF(Rechner!$A$12:$A$21,A614,Rechner!$B$12:$B$21))</f>
        <v/>
      </c>
      <c r="G614">
        <f>H613+E614</f>
        <v/>
      </c>
      <c r="H614">
        <f>G614-MIN(F614,G614)</f>
        <v/>
      </c>
      <c r="I614">
        <f>MIN(F614-MIN(F614,G614),D614)</f>
        <v/>
      </c>
      <c r="J614">
        <f>D614-I614</f>
        <v/>
      </c>
      <c r="K614">
        <f>F614-MIN(F614,G614)-I614</f>
        <v/>
      </c>
    </row>
    <row r="615">
      <c r="A615" s="21">
        <f>IF(Rechner!$E$4&lt;&gt;"ok","",IF(Rechner!$E$5+613&lt;=Rechner!$B$6,Rechner!$E$5+613,""))</f>
        <v/>
      </c>
      <c r="B615">
        <f>IF(A615="","",LOOKUP(A615,Basiszins!$A$5:$A$18,Basiszins!$B$5:$B$18))</f>
        <v/>
      </c>
      <c r="C615">
        <f>IF(A615="","",B615+Rechner!$E$7)</f>
        <v/>
      </c>
      <c r="D615">
        <f>J614</f>
        <v/>
      </c>
      <c r="E615">
        <f>IF(A615="",0,D615*C615/100/(DATE(YEAR(A615)+1,1,1)-DATE(YEAR(A615),1,1)))</f>
        <v/>
      </c>
      <c r="F615">
        <f>IF(A615="",0,SUMIF(Rechner!$A$12:$A$21,A615,Rechner!$B$12:$B$21))</f>
        <v/>
      </c>
      <c r="G615">
        <f>H614+E615</f>
        <v/>
      </c>
      <c r="H615">
        <f>G615-MIN(F615,G615)</f>
        <v/>
      </c>
      <c r="I615">
        <f>MIN(F615-MIN(F615,G615),D615)</f>
        <v/>
      </c>
      <c r="J615">
        <f>D615-I615</f>
        <v/>
      </c>
      <c r="K615">
        <f>F615-MIN(F615,G615)-I615</f>
        <v/>
      </c>
    </row>
    <row r="616">
      <c r="A616" s="21">
        <f>IF(Rechner!$E$4&lt;&gt;"ok","",IF(Rechner!$E$5+614&lt;=Rechner!$B$6,Rechner!$E$5+614,""))</f>
        <v/>
      </c>
      <c r="B616">
        <f>IF(A616="","",LOOKUP(A616,Basiszins!$A$5:$A$18,Basiszins!$B$5:$B$18))</f>
        <v/>
      </c>
      <c r="C616">
        <f>IF(A616="","",B616+Rechner!$E$7)</f>
        <v/>
      </c>
      <c r="D616">
        <f>J615</f>
        <v/>
      </c>
      <c r="E616">
        <f>IF(A616="",0,D616*C616/100/(DATE(YEAR(A616)+1,1,1)-DATE(YEAR(A616),1,1)))</f>
        <v/>
      </c>
      <c r="F616">
        <f>IF(A616="",0,SUMIF(Rechner!$A$12:$A$21,A616,Rechner!$B$12:$B$21))</f>
        <v/>
      </c>
      <c r="G616">
        <f>H615+E616</f>
        <v/>
      </c>
      <c r="H616">
        <f>G616-MIN(F616,G616)</f>
        <v/>
      </c>
      <c r="I616">
        <f>MIN(F616-MIN(F616,G616),D616)</f>
        <v/>
      </c>
      <c r="J616">
        <f>D616-I616</f>
        <v/>
      </c>
      <c r="K616">
        <f>F616-MIN(F616,G616)-I616</f>
        <v/>
      </c>
    </row>
    <row r="617">
      <c r="A617" s="21">
        <f>IF(Rechner!$E$4&lt;&gt;"ok","",IF(Rechner!$E$5+615&lt;=Rechner!$B$6,Rechner!$E$5+615,""))</f>
        <v/>
      </c>
      <c r="B617">
        <f>IF(A617="","",LOOKUP(A617,Basiszins!$A$5:$A$18,Basiszins!$B$5:$B$18))</f>
        <v/>
      </c>
      <c r="C617">
        <f>IF(A617="","",B617+Rechner!$E$7)</f>
        <v/>
      </c>
      <c r="D617">
        <f>J616</f>
        <v/>
      </c>
      <c r="E617">
        <f>IF(A617="",0,D617*C617/100/(DATE(YEAR(A617)+1,1,1)-DATE(YEAR(A617),1,1)))</f>
        <v/>
      </c>
      <c r="F617">
        <f>IF(A617="",0,SUMIF(Rechner!$A$12:$A$21,A617,Rechner!$B$12:$B$21))</f>
        <v/>
      </c>
      <c r="G617">
        <f>H616+E617</f>
        <v/>
      </c>
      <c r="H617">
        <f>G617-MIN(F617,G617)</f>
        <v/>
      </c>
      <c r="I617">
        <f>MIN(F617-MIN(F617,G617),D617)</f>
        <v/>
      </c>
      <c r="J617">
        <f>D617-I617</f>
        <v/>
      </c>
      <c r="K617">
        <f>F617-MIN(F617,G617)-I617</f>
        <v/>
      </c>
    </row>
    <row r="618">
      <c r="A618" s="21">
        <f>IF(Rechner!$E$4&lt;&gt;"ok","",IF(Rechner!$E$5+616&lt;=Rechner!$B$6,Rechner!$E$5+616,""))</f>
        <v/>
      </c>
      <c r="B618">
        <f>IF(A618="","",LOOKUP(A618,Basiszins!$A$5:$A$18,Basiszins!$B$5:$B$18))</f>
        <v/>
      </c>
      <c r="C618">
        <f>IF(A618="","",B618+Rechner!$E$7)</f>
        <v/>
      </c>
      <c r="D618">
        <f>J617</f>
        <v/>
      </c>
      <c r="E618">
        <f>IF(A618="",0,D618*C618/100/(DATE(YEAR(A618)+1,1,1)-DATE(YEAR(A618),1,1)))</f>
        <v/>
      </c>
      <c r="F618">
        <f>IF(A618="",0,SUMIF(Rechner!$A$12:$A$21,A618,Rechner!$B$12:$B$21))</f>
        <v/>
      </c>
      <c r="G618">
        <f>H617+E618</f>
        <v/>
      </c>
      <c r="H618">
        <f>G618-MIN(F618,G618)</f>
        <v/>
      </c>
      <c r="I618">
        <f>MIN(F618-MIN(F618,G618),D618)</f>
        <v/>
      </c>
      <c r="J618">
        <f>D618-I618</f>
        <v/>
      </c>
      <c r="K618">
        <f>F618-MIN(F618,G618)-I618</f>
        <v/>
      </c>
    </row>
    <row r="619">
      <c r="A619" s="21">
        <f>IF(Rechner!$E$4&lt;&gt;"ok","",IF(Rechner!$E$5+617&lt;=Rechner!$B$6,Rechner!$E$5+617,""))</f>
        <v/>
      </c>
      <c r="B619">
        <f>IF(A619="","",LOOKUP(A619,Basiszins!$A$5:$A$18,Basiszins!$B$5:$B$18))</f>
        <v/>
      </c>
      <c r="C619">
        <f>IF(A619="","",B619+Rechner!$E$7)</f>
        <v/>
      </c>
      <c r="D619">
        <f>J618</f>
        <v/>
      </c>
      <c r="E619">
        <f>IF(A619="",0,D619*C619/100/(DATE(YEAR(A619)+1,1,1)-DATE(YEAR(A619),1,1)))</f>
        <v/>
      </c>
      <c r="F619">
        <f>IF(A619="",0,SUMIF(Rechner!$A$12:$A$21,A619,Rechner!$B$12:$B$21))</f>
        <v/>
      </c>
      <c r="G619">
        <f>H618+E619</f>
        <v/>
      </c>
      <c r="H619">
        <f>G619-MIN(F619,G619)</f>
        <v/>
      </c>
      <c r="I619">
        <f>MIN(F619-MIN(F619,G619),D619)</f>
        <v/>
      </c>
      <c r="J619">
        <f>D619-I619</f>
        <v/>
      </c>
      <c r="K619">
        <f>F619-MIN(F619,G619)-I619</f>
        <v/>
      </c>
    </row>
    <row r="620">
      <c r="A620" s="21">
        <f>IF(Rechner!$E$4&lt;&gt;"ok","",IF(Rechner!$E$5+618&lt;=Rechner!$B$6,Rechner!$E$5+618,""))</f>
        <v/>
      </c>
      <c r="B620">
        <f>IF(A620="","",LOOKUP(A620,Basiszins!$A$5:$A$18,Basiszins!$B$5:$B$18))</f>
        <v/>
      </c>
      <c r="C620">
        <f>IF(A620="","",B620+Rechner!$E$7)</f>
        <v/>
      </c>
      <c r="D620">
        <f>J619</f>
        <v/>
      </c>
      <c r="E620">
        <f>IF(A620="",0,D620*C620/100/(DATE(YEAR(A620)+1,1,1)-DATE(YEAR(A620),1,1)))</f>
        <v/>
      </c>
      <c r="F620">
        <f>IF(A620="",0,SUMIF(Rechner!$A$12:$A$21,A620,Rechner!$B$12:$B$21))</f>
        <v/>
      </c>
      <c r="G620">
        <f>H619+E620</f>
        <v/>
      </c>
      <c r="H620">
        <f>G620-MIN(F620,G620)</f>
        <v/>
      </c>
      <c r="I620">
        <f>MIN(F620-MIN(F620,G620),D620)</f>
        <v/>
      </c>
      <c r="J620">
        <f>D620-I620</f>
        <v/>
      </c>
      <c r="K620">
        <f>F620-MIN(F620,G620)-I620</f>
        <v/>
      </c>
    </row>
    <row r="621">
      <c r="A621" s="21">
        <f>IF(Rechner!$E$4&lt;&gt;"ok","",IF(Rechner!$E$5+619&lt;=Rechner!$B$6,Rechner!$E$5+619,""))</f>
        <v/>
      </c>
      <c r="B621">
        <f>IF(A621="","",LOOKUP(A621,Basiszins!$A$5:$A$18,Basiszins!$B$5:$B$18))</f>
        <v/>
      </c>
      <c r="C621">
        <f>IF(A621="","",B621+Rechner!$E$7)</f>
        <v/>
      </c>
      <c r="D621">
        <f>J620</f>
        <v/>
      </c>
      <c r="E621">
        <f>IF(A621="",0,D621*C621/100/(DATE(YEAR(A621)+1,1,1)-DATE(YEAR(A621),1,1)))</f>
        <v/>
      </c>
      <c r="F621">
        <f>IF(A621="",0,SUMIF(Rechner!$A$12:$A$21,A621,Rechner!$B$12:$B$21))</f>
        <v/>
      </c>
      <c r="G621">
        <f>H620+E621</f>
        <v/>
      </c>
      <c r="H621">
        <f>G621-MIN(F621,G621)</f>
        <v/>
      </c>
      <c r="I621">
        <f>MIN(F621-MIN(F621,G621),D621)</f>
        <v/>
      </c>
      <c r="J621">
        <f>D621-I621</f>
        <v/>
      </c>
      <c r="K621">
        <f>F621-MIN(F621,G621)-I621</f>
        <v/>
      </c>
    </row>
    <row r="622">
      <c r="A622" s="21">
        <f>IF(Rechner!$E$4&lt;&gt;"ok","",IF(Rechner!$E$5+620&lt;=Rechner!$B$6,Rechner!$E$5+620,""))</f>
        <v/>
      </c>
      <c r="B622">
        <f>IF(A622="","",LOOKUP(A622,Basiszins!$A$5:$A$18,Basiszins!$B$5:$B$18))</f>
        <v/>
      </c>
      <c r="C622">
        <f>IF(A622="","",B622+Rechner!$E$7)</f>
        <v/>
      </c>
      <c r="D622">
        <f>J621</f>
        <v/>
      </c>
      <c r="E622">
        <f>IF(A622="",0,D622*C622/100/(DATE(YEAR(A622)+1,1,1)-DATE(YEAR(A622),1,1)))</f>
        <v/>
      </c>
      <c r="F622">
        <f>IF(A622="",0,SUMIF(Rechner!$A$12:$A$21,A622,Rechner!$B$12:$B$21))</f>
        <v/>
      </c>
      <c r="G622">
        <f>H621+E622</f>
        <v/>
      </c>
      <c r="H622">
        <f>G622-MIN(F622,G622)</f>
        <v/>
      </c>
      <c r="I622">
        <f>MIN(F622-MIN(F622,G622),D622)</f>
        <v/>
      </c>
      <c r="J622">
        <f>D622-I622</f>
        <v/>
      </c>
      <c r="K622">
        <f>F622-MIN(F622,G622)-I622</f>
        <v/>
      </c>
    </row>
    <row r="623">
      <c r="A623" s="21">
        <f>IF(Rechner!$E$4&lt;&gt;"ok","",IF(Rechner!$E$5+621&lt;=Rechner!$B$6,Rechner!$E$5+621,""))</f>
        <v/>
      </c>
      <c r="B623">
        <f>IF(A623="","",LOOKUP(A623,Basiszins!$A$5:$A$18,Basiszins!$B$5:$B$18))</f>
        <v/>
      </c>
      <c r="C623">
        <f>IF(A623="","",B623+Rechner!$E$7)</f>
        <v/>
      </c>
      <c r="D623">
        <f>J622</f>
        <v/>
      </c>
      <c r="E623">
        <f>IF(A623="",0,D623*C623/100/(DATE(YEAR(A623)+1,1,1)-DATE(YEAR(A623),1,1)))</f>
        <v/>
      </c>
      <c r="F623">
        <f>IF(A623="",0,SUMIF(Rechner!$A$12:$A$21,A623,Rechner!$B$12:$B$21))</f>
        <v/>
      </c>
      <c r="G623">
        <f>H622+E623</f>
        <v/>
      </c>
      <c r="H623">
        <f>G623-MIN(F623,G623)</f>
        <v/>
      </c>
      <c r="I623">
        <f>MIN(F623-MIN(F623,G623),D623)</f>
        <v/>
      </c>
      <c r="J623">
        <f>D623-I623</f>
        <v/>
      </c>
      <c r="K623">
        <f>F623-MIN(F623,G623)-I623</f>
        <v/>
      </c>
    </row>
    <row r="624">
      <c r="A624" s="21">
        <f>IF(Rechner!$E$4&lt;&gt;"ok","",IF(Rechner!$E$5+622&lt;=Rechner!$B$6,Rechner!$E$5+622,""))</f>
        <v/>
      </c>
      <c r="B624">
        <f>IF(A624="","",LOOKUP(A624,Basiszins!$A$5:$A$18,Basiszins!$B$5:$B$18))</f>
        <v/>
      </c>
      <c r="C624">
        <f>IF(A624="","",B624+Rechner!$E$7)</f>
        <v/>
      </c>
      <c r="D624">
        <f>J623</f>
        <v/>
      </c>
      <c r="E624">
        <f>IF(A624="",0,D624*C624/100/(DATE(YEAR(A624)+1,1,1)-DATE(YEAR(A624),1,1)))</f>
        <v/>
      </c>
      <c r="F624">
        <f>IF(A624="",0,SUMIF(Rechner!$A$12:$A$21,A624,Rechner!$B$12:$B$21))</f>
        <v/>
      </c>
      <c r="G624">
        <f>H623+E624</f>
        <v/>
      </c>
      <c r="H624">
        <f>G624-MIN(F624,G624)</f>
        <v/>
      </c>
      <c r="I624">
        <f>MIN(F624-MIN(F624,G624),D624)</f>
        <v/>
      </c>
      <c r="J624">
        <f>D624-I624</f>
        <v/>
      </c>
      <c r="K624">
        <f>F624-MIN(F624,G624)-I624</f>
        <v/>
      </c>
    </row>
    <row r="625">
      <c r="A625" s="21">
        <f>IF(Rechner!$E$4&lt;&gt;"ok","",IF(Rechner!$E$5+623&lt;=Rechner!$B$6,Rechner!$E$5+623,""))</f>
        <v/>
      </c>
      <c r="B625">
        <f>IF(A625="","",LOOKUP(A625,Basiszins!$A$5:$A$18,Basiszins!$B$5:$B$18))</f>
        <v/>
      </c>
      <c r="C625">
        <f>IF(A625="","",B625+Rechner!$E$7)</f>
        <v/>
      </c>
      <c r="D625">
        <f>J624</f>
        <v/>
      </c>
      <c r="E625">
        <f>IF(A625="",0,D625*C625/100/(DATE(YEAR(A625)+1,1,1)-DATE(YEAR(A625),1,1)))</f>
        <v/>
      </c>
      <c r="F625">
        <f>IF(A625="",0,SUMIF(Rechner!$A$12:$A$21,A625,Rechner!$B$12:$B$21))</f>
        <v/>
      </c>
      <c r="G625">
        <f>H624+E625</f>
        <v/>
      </c>
      <c r="H625">
        <f>G625-MIN(F625,G625)</f>
        <v/>
      </c>
      <c r="I625">
        <f>MIN(F625-MIN(F625,G625),D625)</f>
        <v/>
      </c>
      <c r="J625">
        <f>D625-I625</f>
        <v/>
      </c>
      <c r="K625">
        <f>F625-MIN(F625,G625)-I625</f>
        <v/>
      </c>
    </row>
    <row r="626">
      <c r="A626" s="21">
        <f>IF(Rechner!$E$4&lt;&gt;"ok","",IF(Rechner!$E$5+624&lt;=Rechner!$B$6,Rechner!$E$5+624,""))</f>
        <v/>
      </c>
      <c r="B626">
        <f>IF(A626="","",LOOKUP(A626,Basiszins!$A$5:$A$18,Basiszins!$B$5:$B$18))</f>
        <v/>
      </c>
      <c r="C626">
        <f>IF(A626="","",B626+Rechner!$E$7)</f>
        <v/>
      </c>
      <c r="D626">
        <f>J625</f>
        <v/>
      </c>
      <c r="E626">
        <f>IF(A626="",0,D626*C626/100/(DATE(YEAR(A626)+1,1,1)-DATE(YEAR(A626),1,1)))</f>
        <v/>
      </c>
      <c r="F626">
        <f>IF(A626="",0,SUMIF(Rechner!$A$12:$A$21,A626,Rechner!$B$12:$B$21))</f>
        <v/>
      </c>
      <c r="G626">
        <f>H625+E626</f>
        <v/>
      </c>
      <c r="H626">
        <f>G626-MIN(F626,G626)</f>
        <v/>
      </c>
      <c r="I626">
        <f>MIN(F626-MIN(F626,G626),D626)</f>
        <v/>
      </c>
      <c r="J626">
        <f>D626-I626</f>
        <v/>
      </c>
      <c r="K626">
        <f>F626-MIN(F626,G626)-I626</f>
        <v/>
      </c>
    </row>
    <row r="627">
      <c r="A627" s="21">
        <f>IF(Rechner!$E$4&lt;&gt;"ok","",IF(Rechner!$E$5+625&lt;=Rechner!$B$6,Rechner!$E$5+625,""))</f>
        <v/>
      </c>
      <c r="B627">
        <f>IF(A627="","",LOOKUP(A627,Basiszins!$A$5:$A$18,Basiszins!$B$5:$B$18))</f>
        <v/>
      </c>
      <c r="C627">
        <f>IF(A627="","",B627+Rechner!$E$7)</f>
        <v/>
      </c>
      <c r="D627">
        <f>J626</f>
        <v/>
      </c>
      <c r="E627">
        <f>IF(A627="",0,D627*C627/100/(DATE(YEAR(A627)+1,1,1)-DATE(YEAR(A627),1,1)))</f>
        <v/>
      </c>
      <c r="F627">
        <f>IF(A627="",0,SUMIF(Rechner!$A$12:$A$21,A627,Rechner!$B$12:$B$21))</f>
        <v/>
      </c>
      <c r="G627">
        <f>H626+E627</f>
        <v/>
      </c>
      <c r="H627">
        <f>G627-MIN(F627,G627)</f>
        <v/>
      </c>
      <c r="I627">
        <f>MIN(F627-MIN(F627,G627),D627)</f>
        <v/>
      </c>
      <c r="J627">
        <f>D627-I627</f>
        <v/>
      </c>
      <c r="K627">
        <f>F627-MIN(F627,G627)-I627</f>
        <v/>
      </c>
    </row>
    <row r="628">
      <c r="A628" s="21">
        <f>IF(Rechner!$E$4&lt;&gt;"ok","",IF(Rechner!$E$5+626&lt;=Rechner!$B$6,Rechner!$E$5+626,""))</f>
        <v/>
      </c>
      <c r="B628">
        <f>IF(A628="","",LOOKUP(A628,Basiszins!$A$5:$A$18,Basiszins!$B$5:$B$18))</f>
        <v/>
      </c>
      <c r="C628">
        <f>IF(A628="","",B628+Rechner!$E$7)</f>
        <v/>
      </c>
      <c r="D628">
        <f>J627</f>
        <v/>
      </c>
      <c r="E628">
        <f>IF(A628="",0,D628*C628/100/(DATE(YEAR(A628)+1,1,1)-DATE(YEAR(A628),1,1)))</f>
        <v/>
      </c>
      <c r="F628">
        <f>IF(A628="",0,SUMIF(Rechner!$A$12:$A$21,A628,Rechner!$B$12:$B$21))</f>
        <v/>
      </c>
      <c r="G628">
        <f>H627+E628</f>
        <v/>
      </c>
      <c r="H628">
        <f>G628-MIN(F628,G628)</f>
        <v/>
      </c>
      <c r="I628">
        <f>MIN(F628-MIN(F628,G628),D628)</f>
        <v/>
      </c>
      <c r="J628">
        <f>D628-I628</f>
        <v/>
      </c>
      <c r="K628">
        <f>F628-MIN(F628,G628)-I628</f>
        <v/>
      </c>
    </row>
    <row r="629">
      <c r="A629" s="21">
        <f>IF(Rechner!$E$4&lt;&gt;"ok","",IF(Rechner!$E$5+627&lt;=Rechner!$B$6,Rechner!$E$5+627,""))</f>
        <v/>
      </c>
      <c r="B629">
        <f>IF(A629="","",LOOKUP(A629,Basiszins!$A$5:$A$18,Basiszins!$B$5:$B$18))</f>
        <v/>
      </c>
      <c r="C629">
        <f>IF(A629="","",B629+Rechner!$E$7)</f>
        <v/>
      </c>
      <c r="D629">
        <f>J628</f>
        <v/>
      </c>
      <c r="E629">
        <f>IF(A629="",0,D629*C629/100/(DATE(YEAR(A629)+1,1,1)-DATE(YEAR(A629),1,1)))</f>
        <v/>
      </c>
      <c r="F629">
        <f>IF(A629="",0,SUMIF(Rechner!$A$12:$A$21,A629,Rechner!$B$12:$B$21))</f>
        <v/>
      </c>
      <c r="G629">
        <f>H628+E629</f>
        <v/>
      </c>
      <c r="H629">
        <f>G629-MIN(F629,G629)</f>
        <v/>
      </c>
      <c r="I629">
        <f>MIN(F629-MIN(F629,G629),D629)</f>
        <v/>
      </c>
      <c r="J629">
        <f>D629-I629</f>
        <v/>
      </c>
      <c r="K629">
        <f>F629-MIN(F629,G629)-I629</f>
        <v/>
      </c>
    </row>
    <row r="630">
      <c r="A630" s="21">
        <f>IF(Rechner!$E$4&lt;&gt;"ok","",IF(Rechner!$E$5+628&lt;=Rechner!$B$6,Rechner!$E$5+628,""))</f>
        <v/>
      </c>
      <c r="B630">
        <f>IF(A630="","",LOOKUP(A630,Basiszins!$A$5:$A$18,Basiszins!$B$5:$B$18))</f>
        <v/>
      </c>
      <c r="C630">
        <f>IF(A630="","",B630+Rechner!$E$7)</f>
        <v/>
      </c>
      <c r="D630">
        <f>J629</f>
        <v/>
      </c>
      <c r="E630">
        <f>IF(A630="",0,D630*C630/100/(DATE(YEAR(A630)+1,1,1)-DATE(YEAR(A630),1,1)))</f>
        <v/>
      </c>
      <c r="F630">
        <f>IF(A630="",0,SUMIF(Rechner!$A$12:$A$21,A630,Rechner!$B$12:$B$21))</f>
        <v/>
      </c>
      <c r="G630">
        <f>H629+E630</f>
        <v/>
      </c>
      <c r="H630">
        <f>G630-MIN(F630,G630)</f>
        <v/>
      </c>
      <c r="I630">
        <f>MIN(F630-MIN(F630,G630),D630)</f>
        <v/>
      </c>
      <c r="J630">
        <f>D630-I630</f>
        <v/>
      </c>
      <c r="K630">
        <f>F630-MIN(F630,G630)-I630</f>
        <v/>
      </c>
    </row>
    <row r="631">
      <c r="A631" s="21">
        <f>IF(Rechner!$E$4&lt;&gt;"ok","",IF(Rechner!$E$5+629&lt;=Rechner!$B$6,Rechner!$E$5+629,""))</f>
        <v/>
      </c>
      <c r="B631">
        <f>IF(A631="","",LOOKUP(A631,Basiszins!$A$5:$A$18,Basiszins!$B$5:$B$18))</f>
        <v/>
      </c>
      <c r="C631">
        <f>IF(A631="","",B631+Rechner!$E$7)</f>
        <v/>
      </c>
      <c r="D631">
        <f>J630</f>
        <v/>
      </c>
      <c r="E631">
        <f>IF(A631="",0,D631*C631/100/(DATE(YEAR(A631)+1,1,1)-DATE(YEAR(A631),1,1)))</f>
        <v/>
      </c>
      <c r="F631">
        <f>IF(A631="",0,SUMIF(Rechner!$A$12:$A$21,A631,Rechner!$B$12:$B$21))</f>
        <v/>
      </c>
      <c r="G631">
        <f>H630+E631</f>
        <v/>
      </c>
      <c r="H631">
        <f>G631-MIN(F631,G631)</f>
        <v/>
      </c>
      <c r="I631">
        <f>MIN(F631-MIN(F631,G631),D631)</f>
        <v/>
      </c>
      <c r="J631">
        <f>D631-I631</f>
        <v/>
      </c>
      <c r="K631">
        <f>F631-MIN(F631,G631)-I631</f>
        <v/>
      </c>
    </row>
    <row r="632">
      <c r="A632" s="21">
        <f>IF(Rechner!$E$4&lt;&gt;"ok","",IF(Rechner!$E$5+630&lt;=Rechner!$B$6,Rechner!$E$5+630,""))</f>
        <v/>
      </c>
      <c r="B632">
        <f>IF(A632="","",LOOKUP(A632,Basiszins!$A$5:$A$18,Basiszins!$B$5:$B$18))</f>
        <v/>
      </c>
      <c r="C632">
        <f>IF(A632="","",B632+Rechner!$E$7)</f>
        <v/>
      </c>
      <c r="D632">
        <f>J631</f>
        <v/>
      </c>
      <c r="E632">
        <f>IF(A632="",0,D632*C632/100/(DATE(YEAR(A632)+1,1,1)-DATE(YEAR(A632),1,1)))</f>
        <v/>
      </c>
      <c r="F632">
        <f>IF(A632="",0,SUMIF(Rechner!$A$12:$A$21,A632,Rechner!$B$12:$B$21))</f>
        <v/>
      </c>
      <c r="G632">
        <f>H631+E632</f>
        <v/>
      </c>
      <c r="H632">
        <f>G632-MIN(F632,G632)</f>
        <v/>
      </c>
      <c r="I632">
        <f>MIN(F632-MIN(F632,G632),D632)</f>
        <v/>
      </c>
      <c r="J632">
        <f>D632-I632</f>
        <v/>
      </c>
      <c r="K632">
        <f>F632-MIN(F632,G632)-I632</f>
        <v/>
      </c>
    </row>
    <row r="633">
      <c r="A633" s="21">
        <f>IF(Rechner!$E$4&lt;&gt;"ok","",IF(Rechner!$E$5+631&lt;=Rechner!$B$6,Rechner!$E$5+631,""))</f>
        <v/>
      </c>
      <c r="B633">
        <f>IF(A633="","",LOOKUP(A633,Basiszins!$A$5:$A$18,Basiszins!$B$5:$B$18))</f>
        <v/>
      </c>
      <c r="C633">
        <f>IF(A633="","",B633+Rechner!$E$7)</f>
        <v/>
      </c>
      <c r="D633">
        <f>J632</f>
        <v/>
      </c>
      <c r="E633">
        <f>IF(A633="",0,D633*C633/100/(DATE(YEAR(A633)+1,1,1)-DATE(YEAR(A633),1,1)))</f>
        <v/>
      </c>
      <c r="F633">
        <f>IF(A633="",0,SUMIF(Rechner!$A$12:$A$21,A633,Rechner!$B$12:$B$21))</f>
        <v/>
      </c>
      <c r="G633">
        <f>H632+E633</f>
        <v/>
      </c>
      <c r="H633">
        <f>G633-MIN(F633,G633)</f>
        <v/>
      </c>
      <c r="I633">
        <f>MIN(F633-MIN(F633,G633),D633)</f>
        <v/>
      </c>
      <c r="J633">
        <f>D633-I633</f>
        <v/>
      </c>
      <c r="K633">
        <f>F633-MIN(F633,G633)-I633</f>
        <v/>
      </c>
    </row>
    <row r="634">
      <c r="A634" s="21">
        <f>IF(Rechner!$E$4&lt;&gt;"ok","",IF(Rechner!$E$5+632&lt;=Rechner!$B$6,Rechner!$E$5+632,""))</f>
        <v/>
      </c>
      <c r="B634">
        <f>IF(A634="","",LOOKUP(A634,Basiszins!$A$5:$A$18,Basiszins!$B$5:$B$18))</f>
        <v/>
      </c>
      <c r="C634">
        <f>IF(A634="","",B634+Rechner!$E$7)</f>
        <v/>
      </c>
      <c r="D634">
        <f>J633</f>
        <v/>
      </c>
      <c r="E634">
        <f>IF(A634="",0,D634*C634/100/(DATE(YEAR(A634)+1,1,1)-DATE(YEAR(A634),1,1)))</f>
        <v/>
      </c>
      <c r="F634">
        <f>IF(A634="",0,SUMIF(Rechner!$A$12:$A$21,A634,Rechner!$B$12:$B$21))</f>
        <v/>
      </c>
      <c r="G634">
        <f>H633+E634</f>
        <v/>
      </c>
      <c r="H634">
        <f>G634-MIN(F634,G634)</f>
        <v/>
      </c>
      <c r="I634">
        <f>MIN(F634-MIN(F634,G634),D634)</f>
        <v/>
      </c>
      <c r="J634">
        <f>D634-I634</f>
        <v/>
      </c>
      <c r="K634">
        <f>F634-MIN(F634,G634)-I634</f>
        <v/>
      </c>
    </row>
    <row r="635">
      <c r="A635" s="21">
        <f>IF(Rechner!$E$4&lt;&gt;"ok","",IF(Rechner!$E$5+633&lt;=Rechner!$B$6,Rechner!$E$5+633,""))</f>
        <v/>
      </c>
      <c r="B635">
        <f>IF(A635="","",LOOKUP(A635,Basiszins!$A$5:$A$18,Basiszins!$B$5:$B$18))</f>
        <v/>
      </c>
      <c r="C635">
        <f>IF(A635="","",B635+Rechner!$E$7)</f>
        <v/>
      </c>
      <c r="D635">
        <f>J634</f>
        <v/>
      </c>
      <c r="E635">
        <f>IF(A635="",0,D635*C635/100/(DATE(YEAR(A635)+1,1,1)-DATE(YEAR(A635),1,1)))</f>
        <v/>
      </c>
      <c r="F635">
        <f>IF(A635="",0,SUMIF(Rechner!$A$12:$A$21,A635,Rechner!$B$12:$B$21))</f>
        <v/>
      </c>
      <c r="G635">
        <f>H634+E635</f>
        <v/>
      </c>
      <c r="H635">
        <f>G635-MIN(F635,G635)</f>
        <v/>
      </c>
      <c r="I635">
        <f>MIN(F635-MIN(F635,G635),D635)</f>
        <v/>
      </c>
      <c r="J635">
        <f>D635-I635</f>
        <v/>
      </c>
      <c r="K635">
        <f>F635-MIN(F635,G635)-I635</f>
        <v/>
      </c>
    </row>
    <row r="636">
      <c r="A636" s="21">
        <f>IF(Rechner!$E$4&lt;&gt;"ok","",IF(Rechner!$E$5+634&lt;=Rechner!$B$6,Rechner!$E$5+634,""))</f>
        <v/>
      </c>
      <c r="B636">
        <f>IF(A636="","",LOOKUP(A636,Basiszins!$A$5:$A$18,Basiszins!$B$5:$B$18))</f>
        <v/>
      </c>
      <c r="C636">
        <f>IF(A636="","",B636+Rechner!$E$7)</f>
        <v/>
      </c>
      <c r="D636">
        <f>J635</f>
        <v/>
      </c>
      <c r="E636">
        <f>IF(A636="",0,D636*C636/100/(DATE(YEAR(A636)+1,1,1)-DATE(YEAR(A636),1,1)))</f>
        <v/>
      </c>
      <c r="F636">
        <f>IF(A636="",0,SUMIF(Rechner!$A$12:$A$21,A636,Rechner!$B$12:$B$21))</f>
        <v/>
      </c>
      <c r="G636">
        <f>H635+E636</f>
        <v/>
      </c>
      <c r="H636">
        <f>G636-MIN(F636,G636)</f>
        <v/>
      </c>
      <c r="I636">
        <f>MIN(F636-MIN(F636,G636),D636)</f>
        <v/>
      </c>
      <c r="J636">
        <f>D636-I636</f>
        <v/>
      </c>
      <c r="K636">
        <f>F636-MIN(F636,G636)-I636</f>
        <v/>
      </c>
    </row>
    <row r="637">
      <c r="A637" s="21">
        <f>IF(Rechner!$E$4&lt;&gt;"ok","",IF(Rechner!$E$5+635&lt;=Rechner!$B$6,Rechner!$E$5+635,""))</f>
        <v/>
      </c>
      <c r="B637">
        <f>IF(A637="","",LOOKUP(A637,Basiszins!$A$5:$A$18,Basiszins!$B$5:$B$18))</f>
        <v/>
      </c>
      <c r="C637">
        <f>IF(A637="","",B637+Rechner!$E$7)</f>
        <v/>
      </c>
      <c r="D637">
        <f>J636</f>
        <v/>
      </c>
      <c r="E637">
        <f>IF(A637="",0,D637*C637/100/(DATE(YEAR(A637)+1,1,1)-DATE(YEAR(A637),1,1)))</f>
        <v/>
      </c>
      <c r="F637">
        <f>IF(A637="",0,SUMIF(Rechner!$A$12:$A$21,A637,Rechner!$B$12:$B$21))</f>
        <v/>
      </c>
      <c r="G637">
        <f>H636+E637</f>
        <v/>
      </c>
      <c r="H637">
        <f>G637-MIN(F637,G637)</f>
        <v/>
      </c>
      <c r="I637">
        <f>MIN(F637-MIN(F637,G637),D637)</f>
        <v/>
      </c>
      <c r="J637">
        <f>D637-I637</f>
        <v/>
      </c>
      <c r="K637">
        <f>F637-MIN(F637,G637)-I637</f>
        <v/>
      </c>
    </row>
    <row r="638">
      <c r="A638" s="21">
        <f>IF(Rechner!$E$4&lt;&gt;"ok","",IF(Rechner!$E$5+636&lt;=Rechner!$B$6,Rechner!$E$5+636,""))</f>
        <v/>
      </c>
      <c r="B638">
        <f>IF(A638="","",LOOKUP(A638,Basiszins!$A$5:$A$18,Basiszins!$B$5:$B$18))</f>
        <v/>
      </c>
      <c r="C638">
        <f>IF(A638="","",B638+Rechner!$E$7)</f>
        <v/>
      </c>
      <c r="D638">
        <f>J637</f>
        <v/>
      </c>
      <c r="E638">
        <f>IF(A638="",0,D638*C638/100/(DATE(YEAR(A638)+1,1,1)-DATE(YEAR(A638),1,1)))</f>
        <v/>
      </c>
      <c r="F638">
        <f>IF(A638="",0,SUMIF(Rechner!$A$12:$A$21,A638,Rechner!$B$12:$B$21))</f>
        <v/>
      </c>
      <c r="G638">
        <f>H637+E638</f>
        <v/>
      </c>
      <c r="H638">
        <f>G638-MIN(F638,G638)</f>
        <v/>
      </c>
      <c r="I638">
        <f>MIN(F638-MIN(F638,G638),D638)</f>
        <v/>
      </c>
      <c r="J638">
        <f>D638-I638</f>
        <v/>
      </c>
      <c r="K638">
        <f>F638-MIN(F638,G638)-I638</f>
        <v/>
      </c>
    </row>
    <row r="639">
      <c r="A639" s="21">
        <f>IF(Rechner!$E$4&lt;&gt;"ok","",IF(Rechner!$E$5+637&lt;=Rechner!$B$6,Rechner!$E$5+637,""))</f>
        <v/>
      </c>
      <c r="B639">
        <f>IF(A639="","",LOOKUP(A639,Basiszins!$A$5:$A$18,Basiszins!$B$5:$B$18))</f>
        <v/>
      </c>
      <c r="C639">
        <f>IF(A639="","",B639+Rechner!$E$7)</f>
        <v/>
      </c>
      <c r="D639">
        <f>J638</f>
        <v/>
      </c>
      <c r="E639">
        <f>IF(A639="",0,D639*C639/100/(DATE(YEAR(A639)+1,1,1)-DATE(YEAR(A639),1,1)))</f>
        <v/>
      </c>
      <c r="F639">
        <f>IF(A639="",0,SUMIF(Rechner!$A$12:$A$21,A639,Rechner!$B$12:$B$21))</f>
        <v/>
      </c>
      <c r="G639">
        <f>H638+E639</f>
        <v/>
      </c>
      <c r="H639">
        <f>G639-MIN(F639,G639)</f>
        <v/>
      </c>
      <c r="I639">
        <f>MIN(F639-MIN(F639,G639),D639)</f>
        <v/>
      </c>
      <c r="J639">
        <f>D639-I639</f>
        <v/>
      </c>
      <c r="K639">
        <f>F639-MIN(F639,G639)-I639</f>
        <v/>
      </c>
    </row>
    <row r="640">
      <c r="A640" s="21">
        <f>IF(Rechner!$E$4&lt;&gt;"ok","",IF(Rechner!$E$5+638&lt;=Rechner!$B$6,Rechner!$E$5+638,""))</f>
        <v/>
      </c>
      <c r="B640">
        <f>IF(A640="","",LOOKUP(A640,Basiszins!$A$5:$A$18,Basiszins!$B$5:$B$18))</f>
        <v/>
      </c>
      <c r="C640">
        <f>IF(A640="","",B640+Rechner!$E$7)</f>
        <v/>
      </c>
      <c r="D640">
        <f>J639</f>
        <v/>
      </c>
      <c r="E640">
        <f>IF(A640="",0,D640*C640/100/(DATE(YEAR(A640)+1,1,1)-DATE(YEAR(A640),1,1)))</f>
        <v/>
      </c>
      <c r="F640">
        <f>IF(A640="",0,SUMIF(Rechner!$A$12:$A$21,A640,Rechner!$B$12:$B$21))</f>
        <v/>
      </c>
      <c r="G640">
        <f>H639+E640</f>
        <v/>
      </c>
      <c r="H640">
        <f>G640-MIN(F640,G640)</f>
        <v/>
      </c>
      <c r="I640">
        <f>MIN(F640-MIN(F640,G640),D640)</f>
        <v/>
      </c>
      <c r="J640">
        <f>D640-I640</f>
        <v/>
      </c>
      <c r="K640">
        <f>F640-MIN(F640,G640)-I640</f>
        <v/>
      </c>
    </row>
    <row r="641">
      <c r="A641" s="21">
        <f>IF(Rechner!$E$4&lt;&gt;"ok","",IF(Rechner!$E$5+639&lt;=Rechner!$B$6,Rechner!$E$5+639,""))</f>
        <v/>
      </c>
      <c r="B641">
        <f>IF(A641="","",LOOKUP(A641,Basiszins!$A$5:$A$18,Basiszins!$B$5:$B$18))</f>
        <v/>
      </c>
      <c r="C641">
        <f>IF(A641="","",B641+Rechner!$E$7)</f>
        <v/>
      </c>
      <c r="D641">
        <f>J640</f>
        <v/>
      </c>
      <c r="E641">
        <f>IF(A641="",0,D641*C641/100/(DATE(YEAR(A641)+1,1,1)-DATE(YEAR(A641),1,1)))</f>
        <v/>
      </c>
      <c r="F641">
        <f>IF(A641="",0,SUMIF(Rechner!$A$12:$A$21,A641,Rechner!$B$12:$B$21))</f>
        <v/>
      </c>
      <c r="G641">
        <f>H640+E641</f>
        <v/>
      </c>
      <c r="H641">
        <f>G641-MIN(F641,G641)</f>
        <v/>
      </c>
      <c r="I641">
        <f>MIN(F641-MIN(F641,G641),D641)</f>
        <v/>
      </c>
      <c r="J641">
        <f>D641-I641</f>
        <v/>
      </c>
      <c r="K641">
        <f>F641-MIN(F641,G641)-I641</f>
        <v/>
      </c>
    </row>
    <row r="642">
      <c r="A642" s="21">
        <f>IF(Rechner!$E$4&lt;&gt;"ok","",IF(Rechner!$E$5+640&lt;=Rechner!$B$6,Rechner!$E$5+640,""))</f>
        <v/>
      </c>
      <c r="B642">
        <f>IF(A642="","",LOOKUP(A642,Basiszins!$A$5:$A$18,Basiszins!$B$5:$B$18))</f>
        <v/>
      </c>
      <c r="C642">
        <f>IF(A642="","",B642+Rechner!$E$7)</f>
        <v/>
      </c>
      <c r="D642">
        <f>J641</f>
        <v/>
      </c>
      <c r="E642">
        <f>IF(A642="",0,D642*C642/100/(DATE(YEAR(A642)+1,1,1)-DATE(YEAR(A642),1,1)))</f>
        <v/>
      </c>
      <c r="F642">
        <f>IF(A642="",0,SUMIF(Rechner!$A$12:$A$21,A642,Rechner!$B$12:$B$21))</f>
        <v/>
      </c>
      <c r="G642">
        <f>H641+E642</f>
        <v/>
      </c>
      <c r="H642">
        <f>G642-MIN(F642,G642)</f>
        <v/>
      </c>
      <c r="I642">
        <f>MIN(F642-MIN(F642,G642),D642)</f>
        <v/>
      </c>
      <c r="J642">
        <f>D642-I642</f>
        <v/>
      </c>
      <c r="K642">
        <f>F642-MIN(F642,G642)-I642</f>
        <v/>
      </c>
    </row>
    <row r="643">
      <c r="A643" s="21">
        <f>IF(Rechner!$E$4&lt;&gt;"ok","",IF(Rechner!$E$5+641&lt;=Rechner!$B$6,Rechner!$E$5+641,""))</f>
        <v/>
      </c>
      <c r="B643">
        <f>IF(A643="","",LOOKUP(A643,Basiszins!$A$5:$A$18,Basiszins!$B$5:$B$18))</f>
        <v/>
      </c>
      <c r="C643">
        <f>IF(A643="","",B643+Rechner!$E$7)</f>
        <v/>
      </c>
      <c r="D643">
        <f>J642</f>
        <v/>
      </c>
      <c r="E643">
        <f>IF(A643="",0,D643*C643/100/(DATE(YEAR(A643)+1,1,1)-DATE(YEAR(A643),1,1)))</f>
        <v/>
      </c>
      <c r="F643">
        <f>IF(A643="",0,SUMIF(Rechner!$A$12:$A$21,A643,Rechner!$B$12:$B$21))</f>
        <v/>
      </c>
      <c r="G643">
        <f>H642+E643</f>
        <v/>
      </c>
      <c r="H643">
        <f>G643-MIN(F643,G643)</f>
        <v/>
      </c>
      <c r="I643">
        <f>MIN(F643-MIN(F643,G643),D643)</f>
        <v/>
      </c>
      <c r="J643">
        <f>D643-I643</f>
        <v/>
      </c>
      <c r="K643">
        <f>F643-MIN(F643,G643)-I643</f>
        <v/>
      </c>
    </row>
    <row r="644">
      <c r="A644" s="21">
        <f>IF(Rechner!$E$4&lt;&gt;"ok","",IF(Rechner!$E$5+642&lt;=Rechner!$B$6,Rechner!$E$5+642,""))</f>
        <v/>
      </c>
      <c r="B644">
        <f>IF(A644="","",LOOKUP(A644,Basiszins!$A$5:$A$18,Basiszins!$B$5:$B$18))</f>
        <v/>
      </c>
      <c r="C644">
        <f>IF(A644="","",B644+Rechner!$E$7)</f>
        <v/>
      </c>
      <c r="D644">
        <f>J643</f>
        <v/>
      </c>
      <c r="E644">
        <f>IF(A644="",0,D644*C644/100/(DATE(YEAR(A644)+1,1,1)-DATE(YEAR(A644),1,1)))</f>
        <v/>
      </c>
      <c r="F644">
        <f>IF(A644="",0,SUMIF(Rechner!$A$12:$A$21,A644,Rechner!$B$12:$B$21))</f>
        <v/>
      </c>
      <c r="G644">
        <f>H643+E644</f>
        <v/>
      </c>
      <c r="H644">
        <f>G644-MIN(F644,G644)</f>
        <v/>
      </c>
      <c r="I644">
        <f>MIN(F644-MIN(F644,G644),D644)</f>
        <v/>
      </c>
      <c r="J644">
        <f>D644-I644</f>
        <v/>
      </c>
      <c r="K644">
        <f>F644-MIN(F644,G644)-I644</f>
        <v/>
      </c>
    </row>
    <row r="645">
      <c r="A645" s="21">
        <f>IF(Rechner!$E$4&lt;&gt;"ok","",IF(Rechner!$E$5+643&lt;=Rechner!$B$6,Rechner!$E$5+643,""))</f>
        <v/>
      </c>
      <c r="B645">
        <f>IF(A645="","",LOOKUP(A645,Basiszins!$A$5:$A$18,Basiszins!$B$5:$B$18))</f>
        <v/>
      </c>
      <c r="C645">
        <f>IF(A645="","",B645+Rechner!$E$7)</f>
        <v/>
      </c>
      <c r="D645">
        <f>J644</f>
        <v/>
      </c>
      <c r="E645">
        <f>IF(A645="",0,D645*C645/100/(DATE(YEAR(A645)+1,1,1)-DATE(YEAR(A645),1,1)))</f>
        <v/>
      </c>
      <c r="F645">
        <f>IF(A645="",0,SUMIF(Rechner!$A$12:$A$21,A645,Rechner!$B$12:$B$21))</f>
        <v/>
      </c>
      <c r="G645">
        <f>H644+E645</f>
        <v/>
      </c>
      <c r="H645">
        <f>G645-MIN(F645,G645)</f>
        <v/>
      </c>
      <c r="I645">
        <f>MIN(F645-MIN(F645,G645),D645)</f>
        <v/>
      </c>
      <c r="J645">
        <f>D645-I645</f>
        <v/>
      </c>
      <c r="K645">
        <f>F645-MIN(F645,G645)-I645</f>
        <v/>
      </c>
    </row>
    <row r="646">
      <c r="A646" s="21">
        <f>IF(Rechner!$E$4&lt;&gt;"ok","",IF(Rechner!$E$5+644&lt;=Rechner!$B$6,Rechner!$E$5+644,""))</f>
        <v/>
      </c>
      <c r="B646">
        <f>IF(A646="","",LOOKUP(A646,Basiszins!$A$5:$A$18,Basiszins!$B$5:$B$18))</f>
        <v/>
      </c>
      <c r="C646">
        <f>IF(A646="","",B646+Rechner!$E$7)</f>
        <v/>
      </c>
      <c r="D646">
        <f>J645</f>
        <v/>
      </c>
      <c r="E646">
        <f>IF(A646="",0,D646*C646/100/(DATE(YEAR(A646)+1,1,1)-DATE(YEAR(A646),1,1)))</f>
        <v/>
      </c>
      <c r="F646">
        <f>IF(A646="",0,SUMIF(Rechner!$A$12:$A$21,A646,Rechner!$B$12:$B$21))</f>
        <v/>
      </c>
      <c r="G646">
        <f>H645+E646</f>
        <v/>
      </c>
      <c r="H646">
        <f>G646-MIN(F646,G646)</f>
        <v/>
      </c>
      <c r="I646">
        <f>MIN(F646-MIN(F646,G646),D646)</f>
        <v/>
      </c>
      <c r="J646">
        <f>D646-I646</f>
        <v/>
      </c>
      <c r="K646">
        <f>F646-MIN(F646,G646)-I646</f>
        <v/>
      </c>
    </row>
    <row r="647">
      <c r="A647" s="21">
        <f>IF(Rechner!$E$4&lt;&gt;"ok","",IF(Rechner!$E$5+645&lt;=Rechner!$B$6,Rechner!$E$5+645,""))</f>
        <v/>
      </c>
      <c r="B647">
        <f>IF(A647="","",LOOKUP(A647,Basiszins!$A$5:$A$18,Basiszins!$B$5:$B$18))</f>
        <v/>
      </c>
      <c r="C647">
        <f>IF(A647="","",B647+Rechner!$E$7)</f>
        <v/>
      </c>
      <c r="D647">
        <f>J646</f>
        <v/>
      </c>
      <c r="E647">
        <f>IF(A647="",0,D647*C647/100/(DATE(YEAR(A647)+1,1,1)-DATE(YEAR(A647),1,1)))</f>
        <v/>
      </c>
      <c r="F647">
        <f>IF(A647="",0,SUMIF(Rechner!$A$12:$A$21,A647,Rechner!$B$12:$B$21))</f>
        <v/>
      </c>
      <c r="G647">
        <f>H646+E647</f>
        <v/>
      </c>
      <c r="H647">
        <f>G647-MIN(F647,G647)</f>
        <v/>
      </c>
      <c r="I647">
        <f>MIN(F647-MIN(F647,G647),D647)</f>
        <v/>
      </c>
      <c r="J647">
        <f>D647-I647</f>
        <v/>
      </c>
      <c r="K647">
        <f>F647-MIN(F647,G647)-I647</f>
        <v/>
      </c>
    </row>
    <row r="648">
      <c r="A648" s="21">
        <f>IF(Rechner!$E$4&lt;&gt;"ok","",IF(Rechner!$E$5+646&lt;=Rechner!$B$6,Rechner!$E$5+646,""))</f>
        <v/>
      </c>
      <c r="B648">
        <f>IF(A648="","",LOOKUP(A648,Basiszins!$A$5:$A$18,Basiszins!$B$5:$B$18))</f>
        <v/>
      </c>
      <c r="C648">
        <f>IF(A648="","",B648+Rechner!$E$7)</f>
        <v/>
      </c>
      <c r="D648">
        <f>J647</f>
        <v/>
      </c>
      <c r="E648">
        <f>IF(A648="",0,D648*C648/100/(DATE(YEAR(A648)+1,1,1)-DATE(YEAR(A648),1,1)))</f>
        <v/>
      </c>
      <c r="F648">
        <f>IF(A648="",0,SUMIF(Rechner!$A$12:$A$21,A648,Rechner!$B$12:$B$21))</f>
        <v/>
      </c>
      <c r="G648">
        <f>H647+E648</f>
        <v/>
      </c>
      <c r="H648">
        <f>G648-MIN(F648,G648)</f>
        <v/>
      </c>
      <c r="I648">
        <f>MIN(F648-MIN(F648,G648),D648)</f>
        <v/>
      </c>
      <c r="J648">
        <f>D648-I648</f>
        <v/>
      </c>
      <c r="K648">
        <f>F648-MIN(F648,G648)-I648</f>
        <v/>
      </c>
    </row>
    <row r="649">
      <c r="A649" s="21">
        <f>IF(Rechner!$E$4&lt;&gt;"ok","",IF(Rechner!$E$5+647&lt;=Rechner!$B$6,Rechner!$E$5+647,""))</f>
        <v/>
      </c>
      <c r="B649">
        <f>IF(A649="","",LOOKUP(A649,Basiszins!$A$5:$A$18,Basiszins!$B$5:$B$18))</f>
        <v/>
      </c>
      <c r="C649">
        <f>IF(A649="","",B649+Rechner!$E$7)</f>
        <v/>
      </c>
      <c r="D649">
        <f>J648</f>
        <v/>
      </c>
      <c r="E649">
        <f>IF(A649="",0,D649*C649/100/(DATE(YEAR(A649)+1,1,1)-DATE(YEAR(A649),1,1)))</f>
        <v/>
      </c>
      <c r="F649">
        <f>IF(A649="",0,SUMIF(Rechner!$A$12:$A$21,A649,Rechner!$B$12:$B$21))</f>
        <v/>
      </c>
      <c r="G649">
        <f>H648+E649</f>
        <v/>
      </c>
      <c r="H649">
        <f>G649-MIN(F649,G649)</f>
        <v/>
      </c>
      <c r="I649">
        <f>MIN(F649-MIN(F649,G649),D649)</f>
        <v/>
      </c>
      <c r="J649">
        <f>D649-I649</f>
        <v/>
      </c>
      <c r="K649">
        <f>F649-MIN(F649,G649)-I649</f>
        <v/>
      </c>
    </row>
    <row r="650">
      <c r="A650" s="21">
        <f>IF(Rechner!$E$4&lt;&gt;"ok","",IF(Rechner!$E$5+648&lt;=Rechner!$B$6,Rechner!$E$5+648,""))</f>
        <v/>
      </c>
      <c r="B650">
        <f>IF(A650="","",LOOKUP(A650,Basiszins!$A$5:$A$18,Basiszins!$B$5:$B$18))</f>
        <v/>
      </c>
      <c r="C650">
        <f>IF(A650="","",B650+Rechner!$E$7)</f>
        <v/>
      </c>
      <c r="D650">
        <f>J649</f>
        <v/>
      </c>
      <c r="E650">
        <f>IF(A650="",0,D650*C650/100/(DATE(YEAR(A650)+1,1,1)-DATE(YEAR(A650),1,1)))</f>
        <v/>
      </c>
      <c r="F650">
        <f>IF(A650="",0,SUMIF(Rechner!$A$12:$A$21,A650,Rechner!$B$12:$B$21))</f>
        <v/>
      </c>
      <c r="G650">
        <f>H649+E650</f>
        <v/>
      </c>
      <c r="H650">
        <f>G650-MIN(F650,G650)</f>
        <v/>
      </c>
      <c r="I650">
        <f>MIN(F650-MIN(F650,G650),D650)</f>
        <v/>
      </c>
      <c r="J650">
        <f>D650-I650</f>
        <v/>
      </c>
      <c r="K650">
        <f>F650-MIN(F650,G650)-I650</f>
        <v/>
      </c>
    </row>
    <row r="651">
      <c r="A651" s="21">
        <f>IF(Rechner!$E$4&lt;&gt;"ok","",IF(Rechner!$E$5+649&lt;=Rechner!$B$6,Rechner!$E$5+649,""))</f>
        <v/>
      </c>
      <c r="B651">
        <f>IF(A651="","",LOOKUP(A651,Basiszins!$A$5:$A$18,Basiszins!$B$5:$B$18))</f>
        <v/>
      </c>
      <c r="C651">
        <f>IF(A651="","",B651+Rechner!$E$7)</f>
        <v/>
      </c>
      <c r="D651">
        <f>J650</f>
        <v/>
      </c>
      <c r="E651">
        <f>IF(A651="",0,D651*C651/100/(DATE(YEAR(A651)+1,1,1)-DATE(YEAR(A651),1,1)))</f>
        <v/>
      </c>
      <c r="F651">
        <f>IF(A651="",0,SUMIF(Rechner!$A$12:$A$21,A651,Rechner!$B$12:$B$21))</f>
        <v/>
      </c>
      <c r="G651">
        <f>H650+E651</f>
        <v/>
      </c>
      <c r="H651">
        <f>G651-MIN(F651,G651)</f>
        <v/>
      </c>
      <c r="I651">
        <f>MIN(F651-MIN(F651,G651),D651)</f>
        <v/>
      </c>
      <c r="J651">
        <f>D651-I651</f>
        <v/>
      </c>
      <c r="K651">
        <f>F651-MIN(F651,G651)-I651</f>
        <v/>
      </c>
    </row>
    <row r="652">
      <c r="A652" s="21">
        <f>IF(Rechner!$E$4&lt;&gt;"ok","",IF(Rechner!$E$5+650&lt;=Rechner!$B$6,Rechner!$E$5+650,""))</f>
        <v/>
      </c>
      <c r="B652">
        <f>IF(A652="","",LOOKUP(A652,Basiszins!$A$5:$A$18,Basiszins!$B$5:$B$18))</f>
        <v/>
      </c>
      <c r="C652">
        <f>IF(A652="","",B652+Rechner!$E$7)</f>
        <v/>
      </c>
      <c r="D652">
        <f>J651</f>
        <v/>
      </c>
      <c r="E652">
        <f>IF(A652="",0,D652*C652/100/(DATE(YEAR(A652)+1,1,1)-DATE(YEAR(A652),1,1)))</f>
        <v/>
      </c>
      <c r="F652">
        <f>IF(A652="",0,SUMIF(Rechner!$A$12:$A$21,A652,Rechner!$B$12:$B$21))</f>
        <v/>
      </c>
      <c r="G652">
        <f>H651+E652</f>
        <v/>
      </c>
      <c r="H652">
        <f>G652-MIN(F652,G652)</f>
        <v/>
      </c>
      <c r="I652">
        <f>MIN(F652-MIN(F652,G652),D652)</f>
        <v/>
      </c>
      <c r="J652">
        <f>D652-I652</f>
        <v/>
      </c>
      <c r="K652">
        <f>F652-MIN(F652,G652)-I652</f>
        <v/>
      </c>
    </row>
    <row r="653">
      <c r="A653" s="21">
        <f>IF(Rechner!$E$4&lt;&gt;"ok","",IF(Rechner!$E$5+651&lt;=Rechner!$B$6,Rechner!$E$5+651,""))</f>
        <v/>
      </c>
      <c r="B653">
        <f>IF(A653="","",LOOKUP(A653,Basiszins!$A$5:$A$18,Basiszins!$B$5:$B$18))</f>
        <v/>
      </c>
      <c r="C653">
        <f>IF(A653="","",B653+Rechner!$E$7)</f>
        <v/>
      </c>
      <c r="D653">
        <f>J652</f>
        <v/>
      </c>
      <c r="E653">
        <f>IF(A653="",0,D653*C653/100/(DATE(YEAR(A653)+1,1,1)-DATE(YEAR(A653),1,1)))</f>
        <v/>
      </c>
      <c r="F653">
        <f>IF(A653="",0,SUMIF(Rechner!$A$12:$A$21,A653,Rechner!$B$12:$B$21))</f>
        <v/>
      </c>
      <c r="G653">
        <f>H652+E653</f>
        <v/>
      </c>
      <c r="H653">
        <f>G653-MIN(F653,G653)</f>
        <v/>
      </c>
      <c r="I653">
        <f>MIN(F653-MIN(F653,G653),D653)</f>
        <v/>
      </c>
      <c r="J653">
        <f>D653-I653</f>
        <v/>
      </c>
      <c r="K653">
        <f>F653-MIN(F653,G653)-I653</f>
        <v/>
      </c>
    </row>
    <row r="654">
      <c r="A654" s="21">
        <f>IF(Rechner!$E$4&lt;&gt;"ok","",IF(Rechner!$E$5+652&lt;=Rechner!$B$6,Rechner!$E$5+652,""))</f>
        <v/>
      </c>
      <c r="B654">
        <f>IF(A654="","",LOOKUP(A654,Basiszins!$A$5:$A$18,Basiszins!$B$5:$B$18))</f>
        <v/>
      </c>
      <c r="C654">
        <f>IF(A654="","",B654+Rechner!$E$7)</f>
        <v/>
      </c>
      <c r="D654">
        <f>J653</f>
        <v/>
      </c>
      <c r="E654">
        <f>IF(A654="",0,D654*C654/100/(DATE(YEAR(A654)+1,1,1)-DATE(YEAR(A654),1,1)))</f>
        <v/>
      </c>
      <c r="F654">
        <f>IF(A654="",0,SUMIF(Rechner!$A$12:$A$21,A654,Rechner!$B$12:$B$21))</f>
        <v/>
      </c>
      <c r="G654">
        <f>H653+E654</f>
        <v/>
      </c>
      <c r="H654">
        <f>G654-MIN(F654,G654)</f>
        <v/>
      </c>
      <c r="I654">
        <f>MIN(F654-MIN(F654,G654),D654)</f>
        <v/>
      </c>
      <c r="J654">
        <f>D654-I654</f>
        <v/>
      </c>
      <c r="K654">
        <f>F654-MIN(F654,G654)-I654</f>
        <v/>
      </c>
    </row>
    <row r="655">
      <c r="A655" s="21">
        <f>IF(Rechner!$E$4&lt;&gt;"ok","",IF(Rechner!$E$5+653&lt;=Rechner!$B$6,Rechner!$E$5+653,""))</f>
        <v/>
      </c>
      <c r="B655">
        <f>IF(A655="","",LOOKUP(A655,Basiszins!$A$5:$A$18,Basiszins!$B$5:$B$18))</f>
        <v/>
      </c>
      <c r="C655">
        <f>IF(A655="","",B655+Rechner!$E$7)</f>
        <v/>
      </c>
      <c r="D655">
        <f>J654</f>
        <v/>
      </c>
      <c r="E655">
        <f>IF(A655="",0,D655*C655/100/(DATE(YEAR(A655)+1,1,1)-DATE(YEAR(A655),1,1)))</f>
        <v/>
      </c>
      <c r="F655">
        <f>IF(A655="",0,SUMIF(Rechner!$A$12:$A$21,A655,Rechner!$B$12:$B$21))</f>
        <v/>
      </c>
      <c r="G655">
        <f>H654+E655</f>
        <v/>
      </c>
      <c r="H655">
        <f>G655-MIN(F655,G655)</f>
        <v/>
      </c>
      <c r="I655">
        <f>MIN(F655-MIN(F655,G655),D655)</f>
        <v/>
      </c>
      <c r="J655">
        <f>D655-I655</f>
        <v/>
      </c>
      <c r="K655">
        <f>F655-MIN(F655,G655)-I655</f>
        <v/>
      </c>
    </row>
    <row r="656">
      <c r="A656" s="21">
        <f>IF(Rechner!$E$4&lt;&gt;"ok","",IF(Rechner!$E$5+654&lt;=Rechner!$B$6,Rechner!$E$5+654,""))</f>
        <v/>
      </c>
      <c r="B656">
        <f>IF(A656="","",LOOKUP(A656,Basiszins!$A$5:$A$18,Basiszins!$B$5:$B$18))</f>
        <v/>
      </c>
      <c r="C656">
        <f>IF(A656="","",B656+Rechner!$E$7)</f>
        <v/>
      </c>
      <c r="D656">
        <f>J655</f>
        <v/>
      </c>
      <c r="E656">
        <f>IF(A656="",0,D656*C656/100/(DATE(YEAR(A656)+1,1,1)-DATE(YEAR(A656),1,1)))</f>
        <v/>
      </c>
      <c r="F656">
        <f>IF(A656="",0,SUMIF(Rechner!$A$12:$A$21,A656,Rechner!$B$12:$B$21))</f>
        <v/>
      </c>
      <c r="G656">
        <f>H655+E656</f>
        <v/>
      </c>
      <c r="H656">
        <f>G656-MIN(F656,G656)</f>
        <v/>
      </c>
      <c r="I656">
        <f>MIN(F656-MIN(F656,G656),D656)</f>
        <v/>
      </c>
      <c r="J656">
        <f>D656-I656</f>
        <v/>
      </c>
      <c r="K656">
        <f>F656-MIN(F656,G656)-I656</f>
        <v/>
      </c>
    </row>
    <row r="657">
      <c r="A657" s="21">
        <f>IF(Rechner!$E$4&lt;&gt;"ok","",IF(Rechner!$E$5+655&lt;=Rechner!$B$6,Rechner!$E$5+655,""))</f>
        <v/>
      </c>
      <c r="B657">
        <f>IF(A657="","",LOOKUP(A657,Basiszins!$A$5:$A$18,Basiszins!$B$5:$B$18))</f>
        <v/>
      </c>
      <c r="C657">
        <f>IF(A657="","",B657+Rechner!$E$7)</f>
        <v/>
      </c>
      <c r="D657">
        <f>J656</f>
        <v/>
      </c>
      <c r="E657">
        <f>IF(A657="",0,D657*C657/100/(DATE(YEAR(A657)+1,1,1)-DATE(YEAR(A657),1,1)))</f>
        <v/>
      </c>
      <c r="F657">
        <f>IF(A657="",0,SUMIF(Rechner!$A$12:$A$21,A657,Rechner!$B$12:$B$21))</f>
        <v/>
      </c>
      <c r="G657">
        <f>H656+E657</f>
        <v/>
      </c>
      <c r="H657">
        <f>G657-MIN(F657,G657)</f>
        <v/>
      </c>
      <c r="I657">
        <f>MIN(F657-MIN(F657,G657),D657)</f>
        <v/>
      </c>
      <c r="J657">
        <f>D657-I657</f>
        <v/>
      </c>
      <c r="K657">
        <f>F657-MIN(F657,G657)-I657</f>
        <v/>
      </c>
    </row>
    <row r="658">
      <c r="A658" s="21">
        <f>IF(Rechner!$E$4&lt;&gt;"ok","",IF(Rechner!$E$5+656&lt;=Rechner!$B$6,Rechner!$E$5+656,""))</f>
        <v/>
      </c>
      <c r="B658">
        <f>IF(A658="","",LOOKUP(A658,Basiszins!$A$5:$A$18,Basiszins!$B$5:$B$18))</f>
        <v/>
      </c>
      <c r="C658">
        <f>IF(A658="","",B658+Rechner!$E$7)</f>
        <v/>
      </c>
      <c r="D658">
        <f>J657</f>
        <v/>
      </c>
      <c r="E658">
        <f>IF(A658="",0,D658*C658/100/(DATE(YEAR(A658)+1,1,1)-DATE(YEAR(A658),1,1)))</f>
        <v/>
      </c>
      <c r="F658">
        <f>IF(A658="",0,SUMIF(Rechner!$A$12:$A$21,A658,Rechner!$B$12:$B$21))</f>
        <v/>
      </c>
      <c r="G658">
        <f>H657+E658</f>
        <v/>
      </c>
      <c r="H658">
        <f>G658-MIN(F658,G658)</f>
        <v/>
      </c>
      <c r="I658">
        <f>MIN(F658-MIN(F658,G658),D658)</f>
        <v/>
      </c>
      <c r="J658">
        <f>D658-I658</f>
        <v/>
      </c>
      <c r="K658">
        <f>F658-MIN(F658,G658)-I658</f>
        <v/>
      </c>
    </row>
    <row r="659">
      <c r="A659" s="21">
        <f>IF(Rechner!$E$4&lt;&gt;"ok","",IF(Rechner!$E$5+657&lt;=Rechner!$B$6,Rechner!$E$5+657,""))</f>
        <v/>
      </c>
      <c r="B659">
        <f>IF(A659="","",LOOKUP(A659,Basiszins!$A$5:$A$18,Basiszins!$B$5:$B$18))</f>
        <v/>
      </c>
      <c r="C659">
        <f>IF(A659="","",B659+Rechner!$E$7)</f>
        <v/>
      </c>
      <c r="D659">
        <f>J658</f>
        <v/>
      </c>
      <c r="E659">
        <f>IF(A659="",0,D659*C659/100/(DATE(YEAR(A659)+1,1,1)-DATE(YEAR(A659),1,1)))</f>
        <v/>
      </c>
      <c r="F659">
        <f>IF(A659="",0,SUMIF(Rechner!$A$12:$A$21,A659,Rechner!$B$12:$B$21))</f>
        <v/>
      </c>
      <c r="G659">
        <f>H658+E659</f>
        <v/>
      </c>
      <c r="H659">
        <f>G659-MIN(F659,G659)</f>
        <v/>
      </c>
      <c r="I659">
        <f>MIN(F659-MIN(F659,G659),D659)</f>
        <v/>
      </c>
      <c r="J659">
        <f>D659-I659</f>
        <v/>
      </c>
      <c r="K659">
        <f>F659-MIN(F659,G659)-I659</f>
        <v/>
      </c>
    </row>
    <row r="660">
      <c r="A660" s="21">
        <f>IF(Rechner!$E$4&lt;&gt;"ok","",IF(Rechner!$E$5+658&lt;=Rechner!$B$6,Rechner!$E$5+658,""))</f>
        <v/>
      </c>
      <c r="B660">
        <f>IF(A660="","",LOOKUP(A660,Basiszins!$A$5:$A$18,Basiszins!$B$5:$B$18))</f>
        <v/>
      </c>
      <c r="C660">
        <f>IF(A660="","",B660+Rechner!$E$7)</f>
        <v/>
      </c>
      <c r="D660">
        <f>J659</f>
        <v/>
      </c>
      <c r="E660">
        <f>IF(A660="",0,D660*C660/100/(DATE(YEAR(A660)+1,1,1)-DATE(YEAR(A660),1,1)))</f>
        <v/>
      </c>
      <c r="F660">
        <f>IF(A660="",0,SUMIF(Rechner!$A$12:$A$21,A660,Rechner!$B$12:$B$21))</f>
        <v/>
      </c>
      <c r="G660">
        <f>H659+E660</f>
        <v/>
      </c>
      <c r="H660">
        <f>G660-MIN(F660,G660)</f>
        <v/>
      </c>
      <c r="I660">
        <f>MIN(F660-MIN(F660,G660),D660)</f>
        <v/>
      </c>
      <c r="J660">
        <f>D660-I660</f>
        <v/>
      </c>
      <c r="K660">
        <f>F660-MIN(F660,G660)-I660</f>
        <v/>
      </c>
    </row>
    <row r="661">
      <c r="A661" s="21">
        <f>IF(Rechner!$E$4&lt;&gt;"ok","",IF(Rechner!$E$5+659&lt;=Rechner!$B$6,Rechner!$E$5+659,""))</f>
        <v/>
      </c>
      <c r="B661">
        <f>IF(A661="","",LOOKUP(A661,Basiszins!$A$5:$A$18,Basiszins!$B$5:$B$18))</f>
        <v/>
      </c>
      <c r="C661">
        <f>IF(A661="","",B661+Rechner!$E$7)</f>
        <v/>
      </c>
      <c r="D661">
        <f>J660</f>
        <v/>
      </c>
      <c r="E661">
        <f>IF(A661="",0,D661*C661/100/(DATE(YEAR(A661)+1,1,1)-DATE(YEAR(A661),1,1)))</f>
        <v/>
      </c>
      <c r="F661">
        <f>IF(A661="",0,SUMIF(Rechner!$A$12:$A$21,A661,Rechner!$B$12:$B$21))</f>
        <v/>
      </c>
      <c r="G661">
        <f>H660+E661</f>
        <v/>
      </c>
      <c r="H661">
        <f>G661-MIN(F661,G661)</f>
        <v/>
      </c>
      <c r="I661">
        <f>MIN(F661-MIN(F661,G661),D661)</f>
        <v/>
      </c>
      <c r="J661">
        <f>D661-I661</f>
        <v/>
      </c>
      <c r="K661">
        <f>F661-MIN(F661,G661)-I661</f>
        <v/>
      </c>
    </row>
    <row r="662">
      <c r="A662" s="21">
        <f>IF(Rechner!$E$4&lt;&gt;"ok","",IF(Rechner!$E$5+660&lt;=Rechner!$B$6,Rechner!$E$5+660,""))</f>
        <v/>
      </c>
      <c r="B662">
        <f>IF(A662="","",LOOKUP(A662,Basiszins!$A$5:$A$18,Basiszins!$B$5:$B$18))</f>
        <v/>
      </c>
      <c r="C662">
        <f>IF(A662="","",B662+Rechner!$E$7)</f>
        <v/>
      </c>
      <c r="D662">
        <f>J661</f>
        <v/>
      </c>
      <c r="E662">
        <f>IF(A662="",0,D662*C662/100/(DATE(YEAR(A662)+1,1,1)-DATE(YEAR(A662),1,1)))</f>
        <v/>
      </c>
      <c r="F662">
        <f>IF(A662="",0,SUMIF(Rechner!$A$12:$A$21,A662,Rechner!$B$12:$B$21))</f>
        <v/>
      </c>
      <c r="G662">
        <f>H661+E662</f>
        <v/>
      </c>
      <c r="H662">
        <f>G662-MIN(F662,G662)</f>
        <v/>
      </c>
      <c r="I662">
        <f>MIN(F662-MIN(F662,G662),D662)</f>
        <v/>
      </c>
      <c r="J662">
        <f>D662-I662</f>
        <v/>
      </c>
      <c r="K662">
        <f>F662-MIN(F662,G662)-I662</f>
        <v/>
      </c>
    </row>
    <row r="663">
      <c r="A663" s="21">
        <f>IF(Rechner!$E$4&lt;&gt;"ok","",IF(Rechner!$E$5+661&lt;=Rechner!$B$6,Rechner!$E$5+661,""))</f>
        <v/>
      </c>
      <c r="B663">
        <f>IF(A663="","",LOOKUP(A663,Basiszins!$A$5:$A$18,Basiszins!$B$5:$B$18))</f>
        <v/>
      </c>
      <c r="C663">
        <f>IF(A663="","",B663+Rechner!$E$7)</f>
        <v/>
      </c>
      <c r="D663">
        <f>J662</f>
        <v/>
      </c>
      <c r="E663">
        <f>IF(A663="",0,D663*C663/100/(DATE(YEAR(A663)+1,1,1)-DATE(YEAR(A663),1,1)))</f>
        <v/>
      </c>
      <c r="F663">
        <f>IF(A663="",0,SUMIF(Rechner!$A$12:$A$21,A663,Rechner!$B$12:$B$21))</f>
        <v/>
      </c>
      <c r="G663">
        <f>H662+E663</f>
        <v/>
      </c>
      <c r="H663">
        <f>G663-MIN(F663,G663)</f>
        <v/>
      </c>
      <c r="I663">
        <f>MIN(F663-MIN(F663,G663),D663)</f>
        <v/>
      </c>
      <c r="J663">
        <f>D663-I663</f>
        <v/>
      </c>
      <c r="K663">
        <f>F663-MIN(F663,G663)-I663</f>
        <v/>
      </c>
    </row>
    <row r="664">
      <c r="A664" s="21">
        <f>IF(Rechner!$E$4&lt;&gt;"ok","",IF(Rechner!$E$5+662&lt;=Rechner!$B$6,Rechner!$E$5+662,""))</f>
        <v/>
      </c>
      <c r="B664">
        <f>IF(A664="","",LOOKUP(A664,Basiszins!$A$5:$A$18,Basiszins!$B$5:$B$18))</f>
        <v/>
      </c>
      <c r="C664">
        <f>IF(A664="","",B664+Rechner!$E$7)</f>
        <v/>
      </c>
      <c r="D664">
        <f>J663</f>
        <v/>
      </c>
      <c r="E664">
        <f>IF(A664="",0,D664*C664/100/(DATE(YEAR(A664)+1,1,1)-DATE(YEAR(A664),1,1)))</f>
        <v/>
      </c>
      <c r="F664">
        <f>IF(A664="",0,SUMIF(Rechner!$A$12:$A$21,A664,Rechner!$B$12:$B$21))</f>
        <v/>
      </c>
      <c r="G664">
        <f>H663+E664</f>
        <v/>
      </c>
      <c r="H664">
        <f>G664-MIN(F664,G664)</f>
        <v/>
      </c>
      <c r="I664">
        <f>MIN(F664-MIN(F664,G664),D664)</f>
        <v/>
      </c>
      <c r="J664">
        <f>D664-I664</f>
        <v/>
      </c>
      <c r="K664">
        <f>F664-MIN(F664,G664)-I664</f>
        <v/>
      </c>
    </row>
    <row r="665">
      <c r="A665" s="21">
        <f>IF(Rechner!$E$4&lt;&gt;"ok","",IF(Rechner!$E$5+663&lt;=Rechner!$B$6,Rechner!$E$5+663,""))</f>
        <v/>
      </c>
      <c r="B665">
        <f>IF(A665="","",LOOKUP(A665,Basiszins!$A$5:$A$18,Basiszins!$B$5:$B$18))</f>
        <v/>
      </c>
      <c r="C665">
        <f>IF(A665="","",B665+Rechner!$E$7)</f>
        <v/>
      </c>
      <c r="D665">
        <f>J664</f>
        <v/>
      </c>
      <c r="E665">
        <f>IF(A665="",0,D665*C665/100/(DATE(YEAR(A665)+1,1,1)-DATE(YEAR(A665),1,1)))</f>
        <v/>
      </c>
      <c r="F665">
        <f>IF(A665="",0,SUMIF(Rechner!$A$12:$A$21,A665,Rechner!$B$12:$B$21))</f>
        <v/>
      </c>
      <c r="G665">
        <f>H664+E665</f>
        <v/>
      </c>
      <c r="H665">
        <f>G665-MIN(F665,G665)</f>
        <v/>
      </c>
      <c r="I665">
        <f>MIN(F665-MIN(F665,G665),D665)</f>
        <v/>
      </c>
      <c r="J665">
        <f>D665-I665</f>
        <v/>
      </c>
      <c r="K665">
        <f>F665-MIN(F665,G665)-I665</f>
        <v/>
      </c>
    </row>
    <row r="666">
      <c r="A666" s="21">
        <f>IF(Rechner!$E$4&lt;&gt;"ok","",IF(Rechner!$E$5+664&lt;=Rechner!$B$6,Rechner!$E$5+664,""))</f>
        <v/>
      </c>
      <c r="B666">
        <f>IF(A666="","",LOOKUP(A666,Basiszins!$A$5:$A$18,Basiszins!$B$5:$B$18))</f>
        <v/>
      </c>
      <c r="C666">
        <f>IF(A666="","",B666+Rechner!$E$7)</f>
        <v/>
      </c>
      <c r="D666">
        <f>J665</f>
        <v/>
      </c>
      <c r="E666">
        <f>IF(A666="",0,D666*C666/100/(DATE(YEAR(A666)+1,1,1)-DATE(YEAR(A666),1,1)))</f>
        <v/>
      </c>
      <c r="F666">
        <f>IF(A666="",0,SUMIF(Rechner!$A$12:$A$21,A666,Rechner!$B$12:$B$21))</f>
        <v/>
      </c>
      <c r="G666">
        <f>H665+E666</f>
        <v/>
      </c>
      <c r="H666">
        <f>G666-MIN(F666,G666)</f>
        <v/>
      </c>
      <c r="I666">
        <f>MIN(F666-MIN(F666,G666),D666)</f>
        <v/>
      </c>
      <c r="J666">
        <f>D666-I666</f>
        <v/>
      </c>
      <c r="K666">
        <f>F666-MIN(F666,G666)-I666</f>
        <v/>
      </c>
    </row>
    <row r="667">
      <c r="A667" s="21">
        <f>IF(Rechner!$E$4&lt;&gt;"ok","",IF(Rechner!$E$5+665&lt;=Rechner!$B$6,Rechner!$E$5+665,""))</f>
        <v/>
      </c>
      <c r="B667">
        <f>IF(A667="","",LOOKUP(A667,Basiszins!$A$5:$A$18,Basiszins!$B$5:$B$18))</f>
        <v/>
      </c>
      <c r="C667">
        <f>IF(A667="","",B667+Rechner!$E$7)</f>
        <v/>
      </c>
      <c r="D667">
        <f>J666</f>
        <v/>
      </c>
      <c r="E667">
        <f>IF(A667="",0,D667*C667/100/(DATE(YEAR(A667)+1,1,1)-DATE(YEAR(A667),1,1)))</f>
        <v/>
      </c>
      <c r="F667">
        <f>IF(A667="",0,SUMIF(Rechner!$A$12:$A$21,A667,Rechner!$B$12:$B$21))</f>
        <v/>
      </c>
      <c r="G667">
        <f>H666+E667</f>
        <v/>
      </c>
      <c r="H667">
        <f>G667-MIN(F667,G667)</f>
        <v/>
      </c>
      <c r="I667">
        <f>MIN(F667-MIN(F667,G667),D667)</f>
        <v/>
      </c>
      <c r="J667">
        <f>D667-I667</f>
        <v/>
      </c>
      <c r="K667">
        <f>F667-MIN(F667,G667)-I667</f>
        <v/>
      </c>
    </row>
    <row r="668">
      <c r="A668" s="21">
        <f>IF(Rechner!$E$4&lt;&gt;"ok","",IF(Rechner!$E$5+666&lt;=Rechner!$B$6,Rechner!$E$5+666,""))</f>
        <v/>
      </c>
      <c r="B668">
        <f>IF(A668="","",LOOKUP(A668,Basiszins!$A$5:$A$18,Basiszins!$B$5:$B$18))</f>
        <v/>
      </c>
      <c r="C668">
        <f>IF(A668="","",B668+Rechner!$E$7)</f>
        <v/>
      </c>
      <c r="D668">
        <f>J667</f>
        <v/>
      </c>
      <c r="E668">
        <f>IF(A668="",0,D668*C668/100/(DATE(YEAR(A668)+1,1,1)-DATE(YEAR(A668),1,1)))</f>
        <v/>
      </c>
      <c r="F668">
        <f>IF(A668="",0,SUMIF(Rechner!$A$12:$A$21,A668,Rechner!$B$12:$B$21))</f>
        <v/>
      </c>
      <c r="G668">
        <f>H667+E668</f>
        <v/>
      </c>
      <c r="H668">
        <f>G668-MIN(F668,G668)</f>
        <v/>
      </c>
      <c r="I668">
        <f>MIN(F668-MIN(F668,G668),D668)</f>
        <v/>
      </c>
      <c r="J668">
        <f>D668-I668</f>
        <v/>
      </c>
      <c r="K668">
        <f>F668-MIN(F668,G668)-I668</f>
        <v/>
      </c>
    </row>
    <row r="669">
      <c r="A669" s="21">
        <f>IF(Rechner!$E$4&lt;&gt;"ok","",IF(Rechner!$E$5+667&lt;=Rechner!$B$6,Rechner!$E$5+667,""))</f>
        <v/>
      </c>
      <c r="B669">
        <f>IF(A669="","",LOOKUP(A669,Basiszins!$A$5:$A$18,Basiszins!$B$5:$B$18))</f>
        <v/>
      </c>
      <c r="C669">
        <f>IF(A669="","",B669+Rechner!$E$7)</f>
        <v/>
      </c>
      <c r="D669">
        <f>J668</f>
        <v/>
      </c>
      <c r="E669">
        <f>IF(A669="",0,D669*C669/100/(DATE(YEAR(A669)+1,1,1)-DATE(YEAR(A669),1,1)))</f>
        <v/>
      </c>
      <c r="F669">
        <f>IF(A669="",0,SUMIF(Rechner!$A$12:$A$21,A669,Rechner!$B$12:$B$21))</f>
        <v/>
      </c>
      <c r="G669">
        <f>H668+E669</f>
        <v/>
      </c>
      <c r="H669">
        <f>G669-MIN(F669,G669)</f>
        <v/>
      </c>
      <c r="I669">
        <f>MIN(F669-MIN(F669,G669),D669)</f>
        <v/>
      </c>
      <c r="J669">
        <f>D669-I669</f>
        <v/>
      </c>
      <c r="K669">
        <f>F669-MIN(F669,G669)-I669</f>
        <v/>
      </c>
    </row>
    <row r="670">
      <c r="A670" s="21">
        <f>IF(Rechner!$E$4&lt;&gt;"ok","",IF(Rechner!$E$5+668&lt;=Rechner!$B$6,Rechner!$E$5+668,""))</f>
        <v/>
      </c>
      <c r="B670">
        <f>IF(A670="","",LOOKUP(A670,Basiszins!$A$5:$A$18,Basiszins!$B$5:$B$18))</f>
        <v/>
      </c>
      <c r="C670">
        <f>IF(A670="","",B670+Rechner!$E$7)</f>
        <v/>
      </c>
      <c r="D670">
        <f>J669</f>
        <v/>
      </c>
      <c r="E670">
        <f>IF(A670="",0,D670*C670/100/(DATE(YEAR(A670)+1,1,1)-DATE(YEAR(A670),1,1)))</f>
        <v/>
      </c>
      <c r="F670">
        <f>IF(A670="",0,SUMIF(Rechner!$A$12:$A$21,A670,Rechner!$B$12:$B$21))</f>
        <v/>
      </c>
      <c r="G670">
        <f>H669+E670</f>
        <v/>
      </c>
      <c r="H670">
        <f>G670-MIN(F670,G670)</f>
        <v/>
      </c>
      <c r="I670">
        <f>MIN(F670-MIN(F670,G670),D670)</f>
        <v/>
      </c>
      <c r="J670">
        <f>D670-I670</f>
        <v/>
      </c>
      <c r="K670">
        <f>F670-MIN(F670,G670)-I670</f>
        <v/>
      </c>
    </row>
    <row r="671">
      <c r="A671" s="21">
        <f>IF(Rechner!$E$4&lt;&gt;"ok","",IF(Rechner!$E$5+669&lt;=Rechner!$B$6,Rechner!$E$5+669,""))</f>
        <v/>
      </c>
      <c r="B671">
        <f>IF(A671="","",LOOKUP(A671,Basiszins!$A$5:$A$18,Basiszins!$B$5:$B$18))</f>
        <v/>
      </c>
      <c r="C671">
        <f>IF(A671="","",B671+Rechner!$E$7)</f>
        <v/>
      </c>
      <c r="D671">
        <f>J670</f>
        <v/>
      </c>
      <c r="E671">
        <f>IF(A671="",0,D671*C671/100/(DATE(YEAR(A671)+1,1,1)-DATE(YEAR(A671),1,1)))</f>
        <v/>
      </c>
      <c r="F671">
        <f>IF(A671="",0,SUMIF(Rechner!$A$12:$A$21,A671,Rechner!$B$12:$B$21))</f>
        <v/>
      </c>
      <c r="G671">
        <f>H670+E671</f>
        <v/>
      </c>
      <c r="H671">
        <f>G671-MIN(F671,G671)</f>
        <v/>
      </c>
      <c r="I671">
        <f>MIN(F671-MIN(F671,G671),D671)</f>
        <v/>
      </c>
      <c r="J671">
        <f>D671-I671</f>
        <v/>
      </c>
      <c r="K671">
        <f>F671-MIN(F671,G671)-I671</f>
        <v/>
      </c>
    </row>
    <row r="672">
      <c r="A672" s="21">
        <f>IF(Rechner!$E$4&lt;&gt;"ok","",IF(Rechner!$E$5+670&lt;=Rechner!$B$6,Rechner!$E$5+670,""))</f>
        <v/>
      </c>
      <c r="B672">
        <f>IF(A672="","",LOOKUP(A672,Basiszins!$A$5:$A$18,Basiszins!$B$5:$B$18))</f>
        <v/>
      </c>
      <c r="C672">
        <f>IF(A672="","",B672+Rechner!$E$7)</f>
        <v/>
      </c>
      <c r="D672">
        <f>J671</f>
        <v/>
      </c>
      <c r="E672">
        <f>IF(A672="",0,D672*C672/100/(DATE(YEAR(A672)+1,1,1)-DATE(YEAR(A672),1,1)))</f>
        <v/>
      </c>
      <c r="F672">
        <f>IF(A672="",0,SUMIF(Rechner!$A$12:$A$21,A672,Rechner!$B$12:$B$21))</f>
        <v/>
      </c>
      <c r="G672">
        <f>H671+E672</f>
        <v/>
      </c>
      <c r="H672">
        <f>G672-MIN(F672,G672)</f>
        <v/>
      </c>
      <c r="I672">
        <f>MIN(F672-MIN(F672,G672),D672)</f>
        <v/>
      </c>
      <c r="J672">
        <f>D672-I672</f>
        <v/>
      </c>
      <c r="K672">
        <f>F672-MIN(F672,G672)-I672</f>
        <v/>
      </c>
    </row>
    <row r="673">
      <c r="A673" s="21">
        <f>IF(Rechner!$E$4&lt;&gt;"ok","",IF(Rechner!$E$5+671&lt;=Rechner!$B$6,Rechner!$E$5+671,""))</f>
        <v/>
      </c>
      <c r="B673">
        <f>IF(A673="","",LOOKUP(A673,Basiszins!$A$5:$A$18,Basiszins!$B$5:$B$18))</f>
        <v/>
      </c>
      <c r="C673">
        <f>IF(A673="","",B673+Rechner!$E$7)</f>
        <v/>
      </c>
      <c r="D673">
        <f>J672</f>
        <v/>
      </c>
      <c r="E673">
        <f>IF(A673="",0,D673*C673/100/(DATE(YEAR(A673)+1,1,1)-DATE(YEAR(A673),1,1)))</f>
        <v/>
      </c>
      <c r="F673">
        <f>IF(A673="",0,SUMIF(Rechner!$A$12:$A$21,A673,Rechner!$B$12:$B$21))</f>
        <v/>
      </c>
      <c r="G673">
        <f>H672+E673</f>
        <v/>
      </c>
      <c r="H673">
        <f>G673-MIN(F673,G673)</f>
        <v/>
      </c>
      <c r="I673">
        <f>MIN(F673-MIN(F673,G673),D673)</f>
        <v/>
      </c>
      <c r="J673">
        <f>D673-I673</f>
        <v/>
      </c>
      <c r="K673">
        <f>F673-MIN(F673,G673)-I673</f>
        <v/>
      </c>
    </row>
    <row r="674">
      <c r="A674" s="21">
        <f>IF(Rechner!$E$4&lt;&gt;"ok","",IF(Rechner!$E$5+672&lt;=Rechner!$B$6,Rechner!$E$5+672,""))</f>
        <v/>
      </c>
      <c r="B674">
        <f>IF(A674="","",LOOKUP(A674,Basiszins!$A$5:$A$18,Basiszins!$B$5:$B$18))</f>
        <v/>
      </c>
      <c r="C674">
        <f>IF(A674="","",B674+Rechner!$E$7)</f>
        <v/>
      </c>
      <c r="D674">
        <f>J673</f>
        <v/>
      </c>
      <c r="E674">
        <f>IF(A674="",0,D674*C674/100/(DATE(YEAR(A674)+1,1,1)-DATE(YEAR(A674),1,1)))</f>
        <v/>
      </c>
      <c r="F674">
        <f>IF(A674="",0,SUMIF(Rechner!$A$12:$A$21,A674,Rechner!$B$12:$B$21))</f>
        <v/>
      </c>
      <c r="G674">
        <f>H673+E674</f>
        <v/>
      </c>
      <c r="H674">
        <f>G674-MIN(F674,G674)</f>
        <v/>
      </c>
      <c r="I674">
        <f>MIN(F674-MIN(F674,G674),D674)</f>
        <v/>
      </c>
      <c r="J674">
        <f>D674-I674</f>
        <v/>
      </c>
      <c r="K674">
        <f>F674-MIN(F674,G674)-I674</f>
        <v/>
      </c>
    </row>
    <row r="675">
      <c r="A675" s="21">
        <f>IF(Rechner!$E$4&lt;&gt;"ok","",IF(Rechner!$E$5+673&lt;=Rechner!$B$6,Rechner!$E$5+673,""))</f>
        <v/>
      </c>
      <c r="B675">
        <f>IF(A675="","",LOOKUP(A675,Basiszins!$A$5:$A$18,Basiszins!$B$5:$B$18))</f>
        <v/>
      </c>
      <c r="C675">
        <f>IF(A675="","",B675+Rechner!$E$7)</f>
        <v/>
      </c>
      <c r="D675">
        <f>J674</f>
        <v/>
      </c>
      <c r="E675">
        <f>IF(A675="",0,D675*C675/100/(DATE(YEAR(A675)+1,1,1)-DATE(YEAR(A675),1,1)))</f>
        <v/>
      </c>
      <c r="F675">
        <f>IF(A675="",0,SUMIF(Rechner!$A$12:$A$21,A675,Rechner!$B$12:$B$21))</f>
        <v/>
      </c>
      <c r="G675">
        <f>H674+E675</f>
        <v/>
      </c>
      <c r="H675">
        <f>G675-MIN(F675,G675)</f>
        <v/>
      </c>
      <c r="I675">
        <f>MIN(F675-MIN(F675,G675),D675)</f>
        <v/>
      </c>
      <c r="J675">
        <f>D675-I675</f>
        <v/>
      </c>
      <c r="K675">
        <f>F675-MIN(F675,G675)-I675</f>
        <v/>
      </c>
    </row>
    <row r="676">
      <c r="A676" s="21">
        <f>IF(Rechner!$E$4&lt;&gt;"ok","",IF(Rechner!$E$5+674&lt;=Rechner!$B$6,Rechner!$E$5+674,""))</f>
        <v/>
      </c>
      <c r="B676">
        <f>IF(A676="","",LOOKUP(A676,Basiszins!$A$5:$A$18,Basiszins!$B$5:$B$18))</f>
        <v/>
      </c>
      <c r="C676">
        <f>IF(A676="","",B676+Rechner!$E$7)</f>
        <v/>
      </c>
      <c r="D676">
        <f>J675</f>
        <v/>
      </c>
      <c r="E676">
        <f>IF(A676="",0,D676*C676/100/(DATE(YEAR(A676)+1,1,1)-DATE(YEAR(A676),1,1)))</f>
        <v/>
      </c>
      <c r="F676">
        <f>IF(A676="",0,SUMIF(Rechner!$A$12:$A$21,A676,Rechner!$B$12:$B$21))</f>
        <v/>
      </c>
      <c r="G676">
        <f>H675+E676</f>
        <v/>
      </c>
      <c r="H676">
        <f>G676-MIN(F676,G676)</f>
        <v/>
      </c>
      <c r="I676">
        <f>MIN(F676-MIN(F676,G676),D676)</f>
        <v/>
      </c>
      <c r="J676">
        <f>D676-I676</f>
        <v/>
      </c>
      <c r="K676">
        <f>F676-MIN(F676,G676)-I676</f>
        <v/>
      </c>
    </row>
    <row r="677">
      <c r="A677" s="21">
        <f>IF(Rechner!$E$4&lt;&gt;"ok","",IF(Rechner!$E$5+675&lt;=Rechner!$B$6,Rechner!$E$5+675,""))</f>
        <v/>
      </c>
      <c r="B677">
        <f>IF(A677="","",LOOKUP(A677,Basiszins!$A$5:$A$18,Basiszins!$B$5:$B$18))</f>
        <v/>
      </c>
      <c r="C677">
        <f>IF(A677="","",B677+Rechner!$E$7)</f>
        <v/>
      </c>
      <c r="D677">
        <f>J676</f>
        <v/>
      </c>
      <c r="E677">
        <f>IF(A677="",0,D677*C677/100/(DATE(YEAR(A677)+1,1,1)-DATE(YEAR(A677),1,1)))</f>
        <v/>
      </c>
      <c r="F677">
        <f>IF(A677="",0,SUMIF(Rechner!$A$12:$A$21,A677,Rechner!$B$12:$B$21))</f>
        <v/>
      </c>
      <c r="G677">
        <f>H676+E677</f>
        <v/>
      </c>
      <c r="H677">
        <f>G677-MIN(F677,G677)</f>
        <v/>
      </c>
      <c r="I677">
        <f>MIN(F677-MIN(F677,G677),D677)</f>
        <v/>
      </c>
      <c r="J677">
        <f>D677-I677</f>
        <v/>
      </c>
      <c r="K677">
        <f>F677-MIN(F677,G677)-I677</f>
        <v/>
      </c>
    </row>
    <row r="678">
      <c r="A678" s="21">
        <f>IF(Rechner!$E$4&lt;&gt;"ok","",IF(Rechner!$E$5+676&lt;=Rechner!$B$6,Rechner!$E$5+676,""))</f>
        <v/>
      </c>
      <c r="B678">
        <f>IF(A678="","",LOOKUP(A678,Basiszins!$A$5:$A$18,Basiszins!$B$5:$B$18))</f>
        <v/>
      </c>
      <c r="C678">
        <f>IF(A678="","",B678+Rechner!$E$7)</f>
        <v/>
      </c>
      <c r="D678">
        <f>J677</f>
        <v/>
      </c>
      <c r="E678">
        <f>IF(A678="",0,D678*C678/100/(DATE(YEAR(A678)+1,1,1)-DATE(YEAR(A678),1,1)))</f>
        <v/>
      </c>
      <c r="F678">
        <f>IF(A678="",0,SUMIF(Rechner!$A$12:$A$21,A678,Rechner!$B$12:$B$21))</f>
        <v/>
      </c>
      <c r="G678">
        <f>H677+E678</f>
        <v/>
      </c>
      <c r="H678">
        <f>G678-MIN(F678,G678)</f>
        <v/>
      </c>
      <c r="I678">
        <f>MIN(F678-MIN(F678,G678),D678)</f>
        <v/>
      </c>
      <c r="J678">
        <f>D678-I678</f>
        <v/>
      </c>
      <c r="K678">
        <f>F678-MIN(F678,G678)-I678</f>
        <v/>
      </c>
    </row>
    <row r="679">
      <c r="A679" s="21">
        <f>IF(Rechner!$E$4&lt;&gt;"ok","",IF(Rechner!$E$5+677&lt;=Rechner!$B$6,Rechner!$E$5+677,""))</f>
        <v/>
      </c>
      <c r="B679">
        <f>IF(A679="","",LOOKUP(A679,Basiszins!$A$5:$A$18,Basiszins!$B$5:$B$18))</f>
        <v/>
      </c>
      <c r="C679">
        <f>IF(A679="","",B679+Rechner!$E$7)</f>
        <v/>
      </c>
      <c r="D679">
        <f>J678</f>
        <v/>
      </c>
      <c r="E679">
        <f>IF(A679="",0,D679*C679/100/(DATE(YEAR(A679)+1,1,1)-DATE(YEAR(A679),1,1)))</f>
        <v/>
      </c>
      <c r="F679">
        <f>IF(A679="",0,SUMIF(Rechner!$A$12:$A$21,A679,Rechner!$B$12:$B$21))</f>
        <v/>
      </c>
      <c r="G679">
        <f>H678+E679</f>
        <v/>
      </c>
      <c r="H679">
        <f>G679-MIN(F679,G679)</f>
        <v/>
      </c>
      <c r="I679">
        <f>MIN(F679-MIN(F679,G679),D679)</f>
        <v/>
      </c>
      <c r="J679">
        <f>D679-I679</f>
        <v/>
      </c>
      <c r="K679">
        <f>F679-MIN(F679,G679)-I679</f>
        <v/>
      </c>
    </row>
    <row r="680">
      <c r="A680" s="21">
        <f>IF(Rechner!$E$4&lt;&gt;"ok","",IF(Rechner!$E$5+678&lt;=Rechner!$B$6,Rechner!$E$5+678,""))</f>
        <v/>
      </c>
      <c r="B680">
        <f>IF(A680="","",LOOKUP(A680,Basiszins!$A$5:$A$18,Basiszins!$B$5:$B$18))</f>
        <v/>
      </c>
      <c r="C680">
        <f>IF(A680="","",B680+Rechner!$E$7)</f>
        <v/>
      </c>
      <c r="D680">
        <f>J679</f>
        <v/>
      </c>
      <c r="E680">
        <f>IF(A680="",0,D680*C680/100/(DATE(YEAR(A680)+1,1,1)-DATE(YEAR(A680),1,1)))</f>
        <v/>
      </c>
      <c r="F680">
        <f>IF(A680="",0,SUMIF(Rechner!$A$12:$A$21,A680,Rechner!$B$12:$B$21))</f>
        <v/>
      </c>
      <c r="G680">
        <f>H679+E680</f>
        <v/>
      </c>
      <c r="H680">
        <f>G680-MIN(F680,G680)</f>
        <v/>
      </c>
      <c r="I680">
        <f>MIN(F680-MIN(F680,G680),D680)</f>
        <v/>
      </c>
      <c r="J680">
        <f>D680-I680</f>
        <v/>
      </c>
      <c r="K680">
        <f>F680-MIN(F680,G680)-I680</f>
        <v/>
      </c>
    </row>
    <row r="681">
      <c r="A681" s="21">
        <f>IF(Rechner!$E$4&lt;&gt;"ok","",IF(Rechner!$E$5+679&lt;=Rechner!$B$6,Rechner!$E$5+679,""))</f>
        <v/>
      </c>
      <c r="B681">
        <f>IF(A681="","",LOOKUP(A681,Basiszins!$A$5:$A$18,Basiszins!$B$5:$B$18))</f>
        <v/>
      </c>
      <c r="C681">
        <f>IF(A681="","",B681+Rechner!$E$7)</f>
        <v/>
      </c>
      <c r="D681">
        <f>J680</f>
        <v/>
      </c>
      <c r="E681">
        <f>IF(A681="",0,D681*C681/100/(DATE(YEAR(A681)+1,1,1)-DATE(YEAR(A681),1,1)))</f>
        <v/>
      </c>
      <c r="F681">
        <f>IF(A681="",0,SUMIF(Rechner!$A$12:$A$21,A681,Rechner!$B$12:$B$21))</f>
        <v/>
      </c>
      <c r="G681">
        <f>H680+E681</f>
        <v/>
      </c>
      <c r="H681">
        <f>G681-MIN(F681,G681)</f>
        <v/>
      </c>
      <c r="I681">
        <f>MIN(F681-MIN(F681,G681),D681)</f>
        <v/>
      </c>
      <c r="J681">
        <f>D681-I681</f>
        <v/>
      </c>
      <c r="K681">
        <f>F681-MIN(F681,G681)-I681</f>
        <v/>
      </c>
    </row>
    <row r="682">
      <c r="A682" s="21">
        <f>IF(Rechner!$E$4&lt;&gt;"ok","",IF(Rechner!$E$5+680&lt;=Rechner!$B$6,Rechner!$E$5+680,""))</f>
        <v/>
      </c>
      <c r="B682">
        <f>IF(A682="","",LOOKUP(A682,Basiszins!$A$5:$A$18,Basiszins!$B$5:$B$18))</f>
        <v/>
      </c>
      <c r="C682">
        <f>IF(A682="","",B682+Rechner!$E$7)</f>
        <v/>
      </c>
      <c r="D682">
        <f>J681</f>
        <v/>
      </c>
      <c r="E682">
        <f>IF(A682="",0,D682*C682/100/(DATE(YEAR(A682)+1,1,1)-DATE(YEAR(A682),1,1)))</f>
        <v/>
      </c>
      <c r="F682">
        <f>IF(A682="",0,SUMIF(Rechner!$A$12:$A$21,A682,Rechner!$B$12:$B$21))</f>
        <v/>
      </c>
      <c r="G682">
        <f>H681+E682</f>
        <v/>
      </c>
      <c r="H682">
        <f>G682-MIN(F682,G682)</f>
        <v/>
      </c>
      <c r="I682">
        <f>MIN(F682-MIN(F682,G682),D682)</f>
        <v/>
      </c>
      <c r="J682">
        <f>D682-I682</f>
        <v/>
      </c>
      <c r="K682">
        <f>F682-MIN(F682,G682)-I682</f>
        <v/>
      </c>
    </row>
    <row r="683">
      <c r="A683" s="21">
        <f>IF(Rechner!$E$4&lt;&gt;"ok","",IF(Rechner!$E$5+681&lt;=Rechner!$B$6,Rechner!$E$5+681,""))</f>
        <v/>
      </c>
      <c r="B683">
        <f>IF(A683="","",LOOKUP(A683,Basiszins!$A$5:$A$18,Basiszins!$B$5:$B$18))</f>
        <v/>
      </c>
      <c r="C683">
        <f>IF(A683="","",B683+Rechner!$E$7)</f>
        <v/>
      </c>
      <c r="D683">
        <f>J682</f>
        <v/>
      </c>
      <c r="E683">
        <f>IF(A683="",0,D683*C683/100/(DATE(YEAR(A683)+1,1,1)-DATE(YEAR(A683),1,1)))</f>
        <v/>
      </c>
      <c r="F683">
        <f>IF(A683="",0,SUMIF(Rechner!$A$12:$A$21,A683,Rechner!$B$12:$B$21))</f>
        <v/>
      </c>
      <c r="G683">
        <f>H682+E683</f>
        <v/>
      </c>
      <c r="H683">
        <f>G683-MIN(F683,G683)</f>
        <v/>
      </c>
      <c r="I683">
        <f>MIN(F683-MIN(F683,G683),D683)</f>
        <v/>
      </c>
      <c r="J683">
        <f>D683-I683</f>
        <v/>
      </c>
      <c r="K683">
        <f>F683-MIN(F683,G683)-I683</f>
        <v/>
      </c>
    </row>
    <row r="684">
      <c r="A684" s="21">
        <f>IF(Rechner!$E$4&lt;&gt;"ok","",IF(Rechner!$E$5+682&lt;=Rechner!$B$6,Rechner!$E$5+682,""))</f>
        <v/>
      </c>
      <c r="B684">
        <f>IF(A684="","",LOOKUP(A684,Basiszins!$A$5:$A$18,Basiszins!$B$5:$B$18))</f>
        <v/>
      </c>
      <c r="C684">
        <f>IF(A684="","",B684+Rechner!$E$7)</f>
        <v/>
      </c>
      <c r="D684">
        <f>J683</f>
        <v/>
      </c>
      <c r="E684">
        <f>IF(A684="",0,D684*C684/100/(DATE(YEAR(A684)+1,1,1)-DATE(YEAR(A684),1,1)))</f>
        <v/>
      </c>
      <c r="F684">
        <f>IF(A684="",0,SUMIF(Rechner!$A$12:$A$21,A684,Rechner!$B$12:$B$21))</f>
        <v/>
      </c>
      <c r="G684">
        <f>H683+E684</f>
        <v/>
      </c>
      <c r="H684">
        <f>G684-MIN(F684,G684)</f>
        <v/>
      </c>
      <c r="I684">
        <f>MIN(F684-MIN(F684,G684),D684)</f>
        <v/>
      </c>
      <c r="J684">
        <f>D684-I684</f>
        <v/>
      </c>
      <c r="K684">
        <f>F684-MIN(F684,G684)-I684</f>
        <v/>
      </c>
    </row>
    <row r="685">
      <c r="A685" s="21">
        <f>IF(Rechner!$E$4&lt;&gt;"ok","",IF(Rechner!$E$5+683&lt;=Rechner!$B$6,Rechner!$E$5+683,""))</f>
        <v/>
      </c>
      <c r="B685">
        <f>IF(A685="","",LOOKUP(A685,Basiszins!$A$5:$A$18,Basiszins!$B$5:$B$18))</f>
        <v/>
      </c>
      <c r="C685">
        <f>IF(A685="","",B685+Rechner!$E$7)</f>
        <v/>
      </c>
      <c r="D685">
        <f>J684</f>
        <v/>
      </c>
      <c r="E685">
        <f>IF(A685="",0,D685*C685/100/(DATE(YEAR(A685)+1,1,1)-DATE(YEAR(A685),1,1)))</f>
        <v/>
      </c>
      <c r="F685">
        <f>IF(A685="",0,SUMIF(Rechner!$A$12:$A$21,A685,Rechner!$B$12:$B$21))</f>
        <v/>
      </c>
      <c r="G685">
        <f>H684+E685</f>
        <v/>
      </c>
      <c r="H685">
        <f>G685-MIN(F685,G685)</f>
        <v/>
      </c>
      <c r="I685">
        <f>MIN(F685-MIN(F685,G685),D685)</f>
        <v/>
      </c>
      <c r="J685">
        <f>D685-I685</f>
        <v/>
      </c>
      <c r="K685">
        <f>F685-MIN(F685,G685)-I685</f>
        <v/>
      </c>
    </row>
    <row r="686">
      <c r="A686" s="21">
        <f>IF(Rechner!$E$4&lt;&gt;"ok","",IF(Rechner!$E$5+684&lt;=Rechner!$B$6,Rechner!$E$5+684,""))</f>
        <v/>
      </c>
      <c r="B686">
        <f>IF(A686="","",LOOKUP(A686,Basiszins!$A$5:$A$18,Basiszins!$B$5:$B$18))</f>
        <v/>
      </c>
      <c r="C686">
        <f>IF(A686="","",B686+Rechner!$E$7)</f>
        <v/>
      </c>
      <c r="D686">
        <f>J685</f>
        <v/>
      </c>
      <c r="E686">
        <f>IF(A686="",0,D686*C686/100/(DATE(YEAR(A686)+1,1,1)-DATE(YEAR(A686),1,1)))</f>
        <v/>
      </c>
      <c r="F686">
        <f>IF(A686="",0,SUMIF(Rechner!$A$12:$A$21,A686,Rechner!$B$12:$B$21))</f>
        <v/>
      </c>
      <c r="G686">
        <f>H685+E686</f>
        <v/>
      </c>
      <c r="H686">
        <f>G686-MIN(F686,G686)</f>
        <v/>
      </c>
      <c r="I686">
        <f>MIN(F686-MIN(F686,G686),D686)</f>
        <v/>
      </c>
      <c r="J686">
        <f>D686-I686</f>
        <v/>
      </c>
      <c r="K686">
        <f>F686-MIN(F686,G686)-I686</f>
        <v/>
      </c>
    </row>
    <row r="687">
      <c r="A687" s="21">
        <f>IF(Rechner!$E$4&lt;&gt;"ok","",IF(Rechner!$E$5+685&lt;=Rechner!$B$6,Rechner!$E$5+685,""))</f>
        <v/>
      </c>
      <c r="B687">
        <f>IF(A687="","",LOOKUP(A687,Basiszins!$A$5:$A$18,Basiszins!$B$5:$B$18))</f>
        <v/>
      </c>
      <c r="C687">
        <f>IF(A687="","",B687+Rechner!$E$7)</f>
        <v/>
      </c>
      <c r="D687">
        <f>J686</f>
        <v/>
      </c>
      <c r="E687">
        <f>IF(A687="",0,D687*C687/100/(DATE(YEAR(A687)+1,1,1)-DATE(YEAR(A687),1,1)))</f>
        <v/>
      </c>
      <c r="F687">
        <f>IF(A687="",0,SUMIF(Rechner!$A$12:$A$21,A687,Rechner!$B$12:$B$21))</f>
        <v/>
      </c>
      <c r="G687">
        <f>H686+E687</f>
        <v/>
      </c>
      <c r="H687">
        <f>G687-MIN(F687,G687)</f>
        <v/>
      </c>
      <c r="I687">
        <f>MIN(F687-MIN(F687,G687),D687)</f>
        <v/>
      </c>
      <c r="J687">
        <f>D687-I687</f>
        <v/>
      </c>
      <c r="K687">
        <f>F687-MIN(F687,G687)-I687</f>
        <v/>
      </c>
    </row>
    <row r="688">
      <c r="A688" s="21">
        <f>IF(Rechner!$E$4&lt;&gt;"ok","",IF(Rechner!$E$5+686&lt;=Rechner!$B$6,Rechner!$E$5+686,""))</f>
        <v/>
      </c>
      <c r="B688">
        <f>IF(A688="","",LOOKUP(A688,Basiszins!$A$5:$A$18,Basiszins!$B$5:$B$18))</f>
        <v/>
      </c>
      <c r="C688">
        <f>IF(A688="","",B688+Rechner!$E$7)</f>
        <v/>
      </c>
      <c r="D688">
        <f>J687</f>
        <v/>
      </c>
      <c r="E688">
        <f>IF(A688="",0,D688*C688/100/(DATE(YEAR(A688)+1,1,1)-DATE(YEAR(A688),1,1)))</f>
        <v/>
      </c>
      <c r="F688">
        <f>IF(A688="",0,SUMIF(Rechner!$A$12:$A$21,A688,Rechner!$B$12:$B$21))</f>
        <v/>
      </c>
      <c r="G688">
        <f>H687+E688</f>
        <v/>
      </c>
      <c r="H688">
        <f>G688-MIN(F688,G688)</f>
        <v/>
      </c>
      <c r="I688">
        <f>MIN(F688-MIN(F688,G688),D688)</f>
        <v/>
      </c>
      <c r="J688">
        <f>D688-I688</f>
        <v/>
      </c>
      <c r="K688">
        <f>F688-MIN(F688,G688)-I688</f>
        <v/>
      </c>
    </row>
    <row r="689">
      <c r="A689" s="21">
        <f>IF(Rechner!$E$4&lt;&gt;"ok","",IF(Rechner!$E$5+687&lt;=Rechner!$B$6,Rechner!$E$5+687,""))</f>
        <v/>
      </c>
      <c r="B689">
        <f>IF(A689="","",LOOKUP(A689,Basiszins!$A$5:$A$18,Basiszins!$B$5:$B$18))</f>
        <v/>
      </c>
      <c r="C689">
        <f>IF(A689="","",B689+Rechner!$E$7)</f>
        <v/>
      </c>
      <c r="D689">
        <f>J688</f>
        <v/>
      </c>
      <c r="E689">
        <f>IF(A689="",0,D689*C689/100/(DATE(YEAR(A689)+1,1,1)-DATE(YEAR(A689),1,1)))</f>
        <v/>
      </c>
      <c r="F689">
        <f>IF(A689="",0,SUMIF(Rechner!$A$12:$A$21,A689,Rechner!$B$12:$B$21))</f>
        <v/>
      </c>
      <c r="G689">
        <f>H688+E689</f>
        <v/>
      </c>
      <c r="H689">
        <f>G689-MIN(F689,G689)</f>
        <v/>
      </c>
      <c r="I689">
        <f>MIN(F689-MIN(F689,G689),D689)</f>
        <v/>
      </c>
      <c r="J689">
        <f>D689-I689</f>
        <v/>
      </c>
      <c r="K689">
        <f>F689-MIN(F689,G689)-I689</f>
        <v/>
      </c>
    </row>
    <row r="690">
      <c r="A690" s="21">
        <f>IF(Rechner!$E$4&lt;&gt;"ok","",IF(Rechner!$E$5+688&lt;=Rechner!$B$6,Rechner!$E$5+688,""))</f>
        <v/>
      </c>
      <c r="B690">
        <f>IF(A690="","",LOOKUP(A690,Basiszins!$A$5:$A$18,Basiszins!$B$5:$B$18))</f>
        <v/>
      </c>
      <c r="C690">
        <f>IF(A690="","",B690+Rechner!$E$7)</f>
        <v/>
      </c>
      <c r="D690">
        <f>J689</f>
        <v/>
      </c>
      <c r="E690">
        <f>IF(A690="",0,D690*C690/100/(DATE(YEAR(A690)+1,1,1)-DATE(YEAR(A690),1,1)))</f>
        <v/>
      </c>
      <c r="F690">
        <f>IF(A690="",0,SUMIF(Rechner!$A$12:$A$21,A690,Rechner!$B$12:$B$21))</f>
        <v/>
      </c>
      <c r="G690">
        <f>H689+E690</f>
        <v/>
      </c>
      <c r="H690">
        <f>G690-MIN(F690,G690)</f>
        <v/>
      </c>
      <c r="I690">
        <f>MIN(F690-MIN(F690,G690),D690)</f>
        <v/>
      </c>
      <c r="J690">
        <f>D690-I690</f>
        <v/>
      </c>
      <c r="K690">
        <f>F690-MIN(F690,G690)-I690</f>
        <v/>
      </c>
    </row>
    <row r="691">
      <c r="A691" s="21">
        <f>IF(Rechner!$E$4&lt;&gt;"ok","",IF(Rechner!$E$5+689&lt;=Rechner!$B$6,Rechner!$E$5+689,""))</f>
        <v/>
      </c>
      <c r="B691">
        <f>IF(A691="","",LOOKUP(A691,Basiszins!$A$5:$A$18,Basiszins!$B$5:$B$18))</f>
        <v/>
      </c>
      <c r="C691">
        <f>IF(A691="","",B691+Rechner!$E$7)</f>
        <v/>
      </c>
      <c r="D691">
        <f>J690</f>
        <v/>
      </c>
      <c r="E691">
        <f>IF(A691="",0,D691*C691/100/(DATE(YEAR(A691)+1,1,1)-DATE(YEAR(A691),1,1)))</f>
        <v/>
      </c>
      <c r="F691">
        <f>IF(A691="",0,SUMIF(Rechner!$A$12:$A$21,A691,Rechner!$B$12:$B$21))</f>
        <v/>
      </c>
      <c r="G691">
        <f>H690+E691</f>
        <v/>
      </c>
      <c r="H691">
        <f>G691-MIN(F691,G691)</f>
        <v/>
      </c>
      <c r="I691">
        <f>MIN(F691-MIN(F691,G691),D691)</f>
        <v/>
      </c>
      <c r="J691">
        <f>D691-I691</f>
        <v/>
      </c>
      <c r="K691">
        <f>F691-MIN(F691,G691)-I691</f>
        <v/>
      </c>
    </row>
    <row r="692">
      <c r="A692" s="21">
        <f>IF(Rechner!$E$4&lt;&gt;"ok","",IF(Rechner!$E$5+690&lt;=Rechner!$B$6,Rechner!$E$5+690,""))</f>
        <v/>
      </c>
      <c r="B692">
        <f>IF(A692="","",LOOKUP(A692,Basiszins!$A$5:$A$18,Basiszins!$B$5:$B$18))</f>
        <v/>
      </c>
      <c r="C692">
        <f>IF(A692="","",B692+Rechner!$E$7)</f>
        <v/>
      </c>
      <c r="D692">
        <f>J691</f>
        <v/>
      </c>
      <c r="E692">
        <f>IF(A692="",0,D692*C692/100/(DATE(YEAR(A692)+1,1,1)-DATE(YEAR(A692),1,1)))</f>
        <v/>
      </c>
      <c r="F692">
        <f>IF(A692="",0,SUMIF(Rechner!$A$12:$A$21,A692,Rechner!$B$12:$B$21))</f>
        <v/>
      </c>
      <c r="G692">
        <f>H691+E692</f>
        <v/>
      </c>
      <c r="H692">
        <f>G692-MIN(F692,G692)</f>
        <v/>
      </c>
      <c r="I692">
        <f>MIN(F692-MIN(F692,G692),D692)</f>
        <v/>
      </c>
      <c r="J692">
        <f>D692-I692</f>
        <v/>
      </c>
      <c r="K692">
        <f>F692-MIN(F692,G692)-I692</f>
        <v/>
      </c>
    </row>
    <row r="693">
      <c r="A693" s="21">
        <f>IF(Rechner!$E$4&lt;&gt;"ok","",IF(Rechner!$E$5+691&lt;=Rechner!$B$6,Rechner!$E$5+691,""))</f>
        <v/>
      </c>
      <c r="B693">
        <f>IF(A693="","",LOOKUP(A693,Basiszins!$A$5:$A$18,Basiszins!$B$5:$B$18))</f>
        <v/>
      </c>
      <c r="C693">
        <f>IF(A693="","",B693+Rechner!$E$7)</f>
        <v/>
      </c>
      <c r="D693">
        <f>J692</f>
        <v/>
      </c>
      <c r="E693">
        <f>IF(A693="",0,D693*C693/100/(DATE(YEAR(A693)+1,1,1)-DATE(YEAR(A693),1,1)))</f>
        <v/>
      </c>
      <c r="F693">
        <f>IF(A693="",0,SUMIF(Rechner!$A$12:$A$21,A693,Rechner!$B$12:$B$21))</f>
        <v/>
      </c>
      <c r="G693">
        <f>H692+E693</f>
        <v/>
      </c>
      <c r="H693">
        <f>G693-MIN(F693,G693)</f>
        <v/>
      </c>
      <c r="I693">
        <f>MIN(F693-MIN(F693,G693),D693)</f>
        <v/>
      </c>
      <c r="J693">
        <f>D693-I693</f>
        <v/>
      </c>
      <c r="K693">
        <f>F693-MIN(F693,G693)-I693</f>
        <v/>
      </c>
    </row>
    <row r="694">
      <c r="A694" s="21">
        <f>IF(Rechner!$E$4&lt;&gt;"ok","",IF(Rechner!$E$5+692&lt;=Rechner!$B$6,Rechner!$E$5+692,""))</f>
        <v/>
      </c>
      <c r="B694">
        <f>IF(A694="","",LOOKUP(A694,Basiszins!$A$5:$A$18,Basiszins!$B$5:$B$18))</f>
        <v/>
      </c>
      <c r="C694">
        <f>IF(A694="","",B694+Rechner!$E$7)</f>
        <v/>
      </c>
      <c r="D694">
        <f>J693</f>
        <v/>
      </c>
      <c r="E694">
        <f>IF(A694="",0,D694*C694/100/(DATE(YEAR(A694)+1,1,1)-DATE(YEAR(A694),1,1)))</f>
        <v/>
      </c>
      <c r="F694">
        <f>IF(A694="",0,SUMIF(Rechner!$A$12:$A$21,A694,Rechner!$B$12:$B$21))</f>
        <v/>
      </c>
      <c r="G694">
        <f>H693+E694</f>
        <v/>
      </c>
      <c r="H694">
        <f>G694-MIN(F694,G694)</f>
        <v/>
      </c>
      <c r="I694">
        <f>MIN(F694-MIN(F694,G694),D694)</f>
        <v/>
      </c>
      <c r="J694">
        <f>D694-I694</f>
        <v/>
      </c>
      <c r="K694">
        <f>F694-MIN(F694,G694)-I694</f>
        <v/>
      </c>
    </row>
    <row r="695">
      <c r="A695" s="21">
        <f>IF(Rechner!$E$4&lt;&gt;"ok","",IF(Rechner!$E$5+693&lt;=Rechner!$B$6,Rechner!$E$5+693,""))</f>
        <v/>
      </c>
      <c r="B695">
        <f>IF(A695="","",LOOKUP(A695,Basiszins!$A$5:$A$18,Basiszins!$B$5:$B$18))</f>
        <v/>
      </c>
      <c r="C695">
        <f>IF(A695="","",B695+Rechner!$E$7)</f>
        <v/>
      </c>
      <c r="D695">
        <f>J694</f>
        <v/>
      </c>
      <c r="E695">
        <f>IF(A695="",0,D695*C695/100/(DATE(YEAR(A695)+1,1,1)-DATE(YEAR(A695),1,1)))</f>
        <v/>
      </c>
      <c r="F695">
        <f>IF(A695="",0,SUMIF(Rechner!$A$12:$A$21,A695,Rechner!$B$12:$B$21))</f>
        <v/>
      </c>
      <c r="G695">
        <f>H694+E695</f>
        <v/>
      </c>
      <c r="H695">
        <f>G695-MIN(F695,G695)</f>
        <v/>
      </c>
      <c r="I695">
        <f>MIN(F695-MIN(F695,G695),D695)</f>
        <v/>
      </c>
      <c r="J695">
        <f>D695-I695</f>
        <v/>
      </c>
      <c r="K695">
        <f>F695-MIN(F695,G695)-I695</f>
        <v/>
      </c>
    </row>
    <row r="696">
      <c r="A696" s="21">
        <f>IF(Rechner!$E$4&lt;&gt;"ok","",IF(Rechner!$E$5+694&lt;=Rechner!$B$6,Rechner!$E$5+694,""))</f>
        <v/>
      </c>
      <c r="B696">
        <f>IF(A696="","",LOOKUP(A696,Basiszins!$A$5:$A$18,Basiszins!$B$5:$B$18))</f>
        <v/>
      </c>
      <c r="C696">
        <f>IF(A696="","",B696+Rechner!$E$7)</f>
        <v/>
      </c>
      <c r="D696">
        <f>J695</f>
        <v/>
      </c>
      <c r="E696">
        <f>IF(A696="",0,D696*C696/100/(DATE(YEAR(A696)+1,1,1)-DATE(YEAR(A696),1,1)))</f>
        <v/>
      </c>
      <c r="F696">
        <f>IF(A696="",0,SUMIF(Rechner!$A$12:$A$21,A696,Rechner!$B$12:$B$21))</f>
        <v/>
      </c>
      <c r="G696">
        <f>H695+E696</f>
        <v/>
      </c>
      <c r="H696">
        <f>G696-MIN(F696,G696)</f>
        <v/>
      </c>
      <c r="I696">
        <f>MIN(F696-MIN(F696,G696),D696)</f>
        <v/>
      </c>
      <c r="J696">
        <f>D696-I696</f>
        <v/>
      </c>
      <c r="K696">
        <f>F696-MIN(F696,G696)-I696</f>
        <v/>
      </c>
    </row>
    <row r="697">
      <c r="A697" s="21">
        <f>IF(Rechner!$E$4&lt;&gt;"ok","",IF(Rechner!$E$5+695&lt;=Rechner!$B$6,Rechner!$E$5+695,""))</f>
        <v/>
      </c>
      <c r="B697">
        <f>IF(A697="","",LOOKUP(A697,Basiszins!$A$5:$A$18,Basiszins!$B$5:$B$18))</f>
        <v/>
      </c>
      <c r="C697">
        <f>IF(A697="","",B697+Rechner!$E$7)</f>
        <v/>
      </c>
      <c r="D697">
        <f>J696</f>
        <v/>
      </c>
      <c r="E697">
        <f>IF(A697="",0,D697*C697/100/(DATE(YEAR(A697)+1,1,1)-DATE(YEAR(A697),1,1)))</f>
        <v/>
      </c>
      <c r="F697">
        <f>IF(A697="",0,SUMIF(Rechner!$A$12:$A$21,A697,Rechner!$B$12:$B$21))</f>
        <v/>
      </c>
      <c r="G697">
        <f>H696+E697</f>
        <v/>
      </c>
      <c r="H697">
        <f>G697-MIN(F697,G697)</f>
        <v/>
      </c>
      <c r="I697">
        <f>MIN(F697-MIN(F697,G697),D697)</f>
        <v/>
      </c>
      <c r="J697">
        <f>D697-I697</f>
        <v/>
      </c>
      <c r="K697">
        <f>F697-MIN(F697,G697)-I697</f>
        <v/>
      </c>
    </row>
    <row r="698">
      <c r="A698" s="21">
        <f>IF(Rechner!$E$4&lt;&gt;"ok","",IF(Rechner!$E$5+696&lt;=Rechner!$B$6,Rechner!$E$5+696,""))</f>
        <v/>
      </c>
      <c r="B698">
        <f>IF(A698="","",LOOKUP(A698,Basiszins!$A$5:$A$18,Basiszins!$B$5:$B$18))</f>
        <v/>
      </c>
      <c r="C698">
        <f>IF(A698="","",B698+Rechner!$E$7)</f>
        <v/>
      </c>
      <c r="D698">
        <f>J697</f>
        <v/>
      </c>
      <c r="E698">
        <f>IF(A698="",0,D698*C698/100/(DATE(YEAR(A698)+1,1,1)-DATE(YEAR(A698),1,1)))</f>
        <v/>
      </c>
      <c r="F698">
        <f>IF(A698="",0,SUMIF(Rechner!$A$12:$A$21,A698,Rechner!$B$12:$B$21))</f>
        <v/>
      </c>
      <c r="G698">
        <f>H697+E698</f>
        <v/>
      </c>
      <c r="H698">
        <f>G698-MIN(F698,G698)</f>
        <v/>
      </c>
      <c r="I698">
        <f>MIN(F698-MIN(F698,G698),D698)</f>
        <v/>
      </c>
      <c r="J698">
        <f>D698-I698</f>
        <v/>
      </c>
      <c r="K698">
        <f>F698-MIN(F698,G698)-I698</f>
        <v/>
      </c>
    </row>
    <row r="699">
      <c r="A699" s="21">
        <f>IF(Rechner!$E$4&lt;&gt;"ok","",IF(Rechner!$E$5+697&lt;=Rechner!$B$6,Rechner!$E$5+697,""))</f>
        <v/>
      </c>
      <c r="B699">
        <f>IF(A699="","",LOOKUP(A699,Basiszins!$A$5:$A$18,Basiszins!$B$5:$B$18))</f>
        <v/>
      </c>
      <c r="C699">
        <f>IF(A699="","",B699+Rechner!$E$7)</f>
        <v/>
      </c>
      <c r="D699">
        <f>J698</f>
        <v/>
      </c>
      <c r="E699">
        <f>IF(A699="",0,D699*C699/100/(DATE(YEAR(A699)+1,1,1)-DATE(YEAR(A699),1,1)))</f>
        <v/>
      </c>
      <c r="F699">
        <f>IF(A699="",0,SUMIF(Rechner!$A$12:$A$21,A699,Rechner!$B$12:$B$21))</f>
        <v/>
      </c>
      <c r="G699">
        <f>H698+E699</f>
        <v/>
      </c>
      <c r="H699">
        <f>G699-MIN(F699,G699)</f>
        <v/>
      </c>
      <c r="I699">
        <f>MIN(F699-MIN(F699,G699),D699)</f>
        <v/>
      </c>
      <c r="J699">
        <f>D699-I699</f>
        <v/>
      </c>
      <c r="K699">
        <f>F699-MIN(F699,G699)-I699</f>
        <v/>
      </c>
    </row>
    <row r="700">
      <c r="A700" s="21">
        <f>IF(Rechner!$E$4&lt;&gt;"ok","",IF(Rechner!$E$5+698&lt;=Rechner!$B$6,Rechner!$E$5+698,""))</f>
        <v/>
      </c>
      <c r="B700">
        <f>IF(A700="","",LOOKUP(A700,Basiszins!$A$5:$A$18,Basiszins!$B$5:$B$18))</f>
        <v/>
      </c>
      <c r="C700">
        <f>IF(A700="","",B700+Rechner!$E$7)</f>
        <v/>
      </c>
      <c r="D700">
        <f>J699</f>
        <v/>
      </c>
      <c r="E700">
        <f>IF(A700="",0,D700*C700/100/(DATE(YEAR(A700)+1,1,1)-DATE(YEAR(A700),1,1)))</f>
        <v/>
      </c>
      <c r="F700">
        <f>IF(A700="",0,SUMIF(Rechner!$A$12:$A$21,A700,Rechner!$B$12:$B$21))</f>
        <v/>
      </c>
      <c r="G700">
        <f>H699+E700</f>
        <v/>
      </c>
      <c r="H700">
        <f>G700-MIN(F700,G700)</f>
        <v/>
      </c>
      <c r="I700">
        <f>MIN(F700-MIN(F700,G700),D700)</f>
        <v/>
      </c>
      <c r="J700">
        <f>D700-I700</f>
        <v/>
      </c>
      <c r="K700">
        <f>F700-MIN(F700,G700)-I700</f>
        <v/>
      </c>
    </row>
    <row r="701">
      <c r="A701" s="21">
        <f>IF(Rechner!$E$4&lt;&gt;"ok","",IF(Rechner!$E$5+699&lt;=Rechner!$B$6,Rechner!$E$5+699,""))</f>
        <v/>
      </c>
      <c r="B701">
        <f>IF(A701="","",LOOKUP(A701,Basiszins!$A$5:$A$18,Basiszins!$B$5:$B$18))</f>
        <v/>
      </c>
      <c r="C701">
        <f>IF(A701="","",B701+Rechner!$E$7)</f>
        <v/>
      </c>
      <c r="D701">
        <f>J700</f>
        <v/>
      </c>
      <c r="E701">
        <f>IF(A701="",0,D701*C701/100/(DATE(YEAR(A701)+1,1,1)-DATE(YEAR(A701),1,1)))</f>
        <v/>
      </c>
      <c r="F701">
        <f>IF(A701="",0,SUMIF(Rechner!$A$12:$A$21,A701,Rechner!$B$12:$B$21))</f>
        <v/>
      </c>
      <c r="G701">
        <f>H700+E701</f>
        <v/>
      </c>
      <c r="H701">
        <f>G701-MIN(F701,G701)</f>
        <v/>
      </c>
      <c r="I701">
        <f>MIN(F701-MIN(F701,G701),D701)</f>
        <v/>
      </c>
      <c r="J701">
        <f>D701-I701</f>
        <v/>
      </c>
      <c r="K701">
        <f>F701-MIN(F701,G701)-I701</f>
        <v/>
      </c>
    </row>
    <row r="702">
      <c r="A702" s="21">
        <f>IF(Rechner!$E$4&lt;&gt;"ok","",IF(Rechner!$E$5+700&lt;=Rechner!$B$6,Rechner!$E$5+700,""))</f>
        <v/>
      </c>
      <c r="B702">
        <f>IF(A702="","",LOOKUP(A702,Basiszins!$A$5:$A$18,Basiszins!$B$5:$B$18))</f>
        <v/>
      </c>
      <c r="C702">
        <f>IF(A702="","",B702+Rechner!$E$7)</f>
        <v/>
      </c>
      <c r="D702">
        <f>J701</f>
        <v/>
      </c>
      <c r="E702">
        <f>IF(A702="",0,D702*C702/100/(DATE(YEAR(A702)+1,1,1)-DATE(YEAR(A702),1,1)))</f>
        <v/>
      </c>
      <c r="F702">
        <f>IF(A702="",0,SUMIF(Rechner!$A$12:$A$21,A702,Rechner!$B$12:$B$21))</f>
        <v/>
      </c>
      <c r="G702">
        <f>H701+E702</f>
        <v/>
      </c>
      <c r="H702">
        <f>G702-MIN(F702,G702)</f>
        <v/>
      </c>
      <c r="I702">
        <f>MIN(F702-MIN(F702,G702),D702)</f>
        <v/>
      </c>
      <c r="J702">
        <f>D702-I702</f>
        <v/>
      </c>
      <c r="K702">
        <f>F702-MIN(F702,G702)-I702</f>
        <v/>
      </c>
    </row>
    <row r="703">
      <c r="A703" s="21">
        <f>IF(Rechner!$E$4&lt;&gt;"ok","",IF(Rechner!$E$5+701&lt;=Rechner!$B$6,Rechner!$E$5+701,""))</f>
        <v/>
      </c>
      <c r="B703">
        <f>IF(A703="","",LOOKUP(A703,Basiszins!$A$5:$A$18,Basiszins!$B$5:$B$18))</f>
        <v/>
      </c>
      <c r="C703">
        <f>IF(A703="","",B703+Rechner!$E$7)</f>
        <v/>
      </c>
      <c r="D703">
        <f>J702</f>
        <v/>
      </c>
      <c r="E703">
        <f>IF(A703="",0,D703*C703/100/(DATE(YEAR(A703)+1,1,1)-DATE(YEAR(A703),1,1)))</f>
        <v/>
      </c>
      <c r="F703">
        <f>IF(A703="",0,SUMIF(Rechner!$A$12:$A$21,A703,Rechner!$B$12:$B$21))</f>
        <v/>
      </c>
      <c r="G703">
        <f>H702+E703</f>
        <v/>
      </c>
      <c r="H703">
        <f>G703-MIN(F703,G703)</f>
        <v/>
      </c>
      <c r="I703">
        <f>MIN(F703-MIN(F703,G703),D703)</f>
        <v/>
      </c>
      <c r="J703">
        <f>D703-I703</f>
        <v/>
      </c>
      <c r="K703">
        <f>F703-MIN(F703,G703)-I703</f>
        <v/>
      </c>
    </row>
    <row r="704">
      <c r="A704" s="21">
        <f>IF(Rechner!$E$4&lt;&gt;"ok","",IF(Rechner!$E$5+702&lt;=Rechner!$B$6,Rechner!$E$5+702,""))</f>
        <v/>
      </c>
      <c r="B704">
        <f>IF(A704="","",LOOKUP(A704,Basiszins!$A$5:$A$18,Basiszins!$B$5:$B$18))</f>
        <v/>
      </c>
      <c r="C704">
        <f>IF(A704="","",B704+Rechner!$E$7)</f>
        <v/>
      </c>
      <c r="D704">
        <f>J703</f>
        <v/>
      </c>
      <c r="E704">
        <f>IF(A704="",0,D704*C704/100/(DATE(YEAR(A704)+1,1,1)-DATE(YEAR(A704),1,1)))</f>
        <v/>
      </c>
      <c r="F704">
        <f>IF(A704="",0,SUMIF(Rechner!$A$12:$A$21,A704,Rechner!$B$12:$B$21))</f>
        <v/>
      </c>
      <c r="G704">
        <f>H703+E704</f>
        <v/>
      </c>
      <c r="H704">
        <f>G704-MIN(F704,G704)</f>
        <v/>
      </c>
      <c r="I704">
        <f>MIN(F704-MIN(F704,G704),D704)</f>
        <v/>
      </c>
      <c r="J704">
        <f>D704-I704</f>
        <v/>
      </c>
      <c r="K704">
        <f>F704-MIN(F704,G704)-I704</f>
        <v/>
      </c>
    </row>
    <row r="705">
      <c r="A705" s="21">
        <f>IF(Rechner!$E$4&lt;&gt;"ok","",IF(Rechner!$E$5+703&lt;=Rechner!$B$6,Rechner!$E$5+703,""))</f>
        <v/>
      </c>
      <c r="B705">
        <f>IF(A705="","",LOOKUP(A705,Basiszins!$A$5:$A$18,Basiszins!$B$5:$B$18))</f>
        <v/>
      </c>
      <c r="C705">
        <f>IF(A705="","",B705+Rechner!$E$7)</f>
        <v/>
      </c>
      <c r="D705">
        <f>J704</f>
        <v/>
      </c>
      <c r="E705">
        <f>IF(A705="",0,D705*C705/100/(DATE(YEAR(A705)+1,1,1)-DATE(YEAR(A705),1,1)))</f>
        <v/>
      </c>
      <c r="F705">
        <f>IF(A705="",0,SUMIF(Rechner!$A$12:$A$21,A705,Rechner!$B$12:$B$21))</f>
        <v/>
      </c>
      <c r="G705">
        <f>H704+E705</f>
        <v/>
      </c>
      <c r="H705">
        <f>G705-MIN(F705,G705)</f>
        <v/>
      </c>
      <c r="I705">
        <f>MIN(F705-MIN(F705,G705),D705)</f>
        <v/>
      </c>
      <c r="J705">
        <f>D705-I705</f>
        <v/>
      </c>
      <c r="K705">
        <f>F705-MIN(F705,G705)-I705</f>
        <v/>
      </c>
    </row>
    <row r="706">
      <c r="A706" s="21">
        <f>IF(Rechner!$E$4&lt;&gt;"ok","",IF(Rechner!$E$5+704&lt;=Rechner!$B$6,Rechner!$E$5+704,""))</f>
        <v/>
      </c>
      <c r="B706">
        <f>IF(A706="","",LOOKUP(A706,Basiszins!$A$5:$A$18,Basiszins!$B$5:$B$18))</f>
        <v/>
      </c>
      <c r="C706">
        <f>IF(A706="","",B706+Rechner!$E$7)</f>
        <v/>
      </c>
      <c r="D706">
        <f>J705</f>
        <v/>
      </c>
      <c r="E706">
        <f>IF(A706="",0,D706*C706/100/(DATE(YEAR(A706)+1,1,1)-DATE(YEAR(A706),1,1)))</f>
        <v/>
      </c>
      <c r="F706">
        <f>IF(A706="",0,SUMIF(Rechner!$A$12:$A$21,A706,Rechner!$B$12:$B$21))</f>
        <v/>
      </c>
      <c r="G706">
        <f>H705+E706</f>
        <v/>
      </c>
      <c r="H706">
        <f>G706-MIN(F706,G706)</f>
        <v/>
      </c>
      <c r="I706">
        <f>MIN(F706-MIN(F706,G706),D706)</f>
        <v/>
      </c>
      <c r="J706">
        <f>D706-I706</f>
        <v/>
      </c>
      <c r="K706">
        <f>F706-MIN(F706,G706)-I706</f>
        <v/>
      </c>
    </row>
    <row r="707">
      <c r="A707" s="21">
        <f>IF(Rechner!$E$4&lt;&gt;"ok","",IF(Rechner!$E$5+705&lt;=Rechner!$B$6,Rechner!$E$5+705,""))</f>
        <v/>
      </c>
      <c r="B707">
        <f>IF(A707="","",LOOKUP(A707,Basiszins!$A$5:$A$18,Basiszins!$B$5:$B$18))</f>
        <v/>
      </c>
      <c r="C707">
        <f>IF(A707="","",B707+Rechner!$E$7)</f>
        <v/>
      </c>
      <c r="D707">
        <f>J706</f>
        <v/>
      </c>
      <c r="E707">
        <f>IF(A707="",0,D707*C707/100/(DATE(YEAR(A707)+1,1,1)-DATE(YEAR(A707),1,1)))</f>
        <v/>
      </c>
      <c r="F707">
        <f>IF(A707="",0,SUMIF(Rechner!$A$12:$A$21,A707,Rechner!$B$12:$B$21))</f>
        <v/>
      </c>
      <c r="G707">
        <f>H706+E707</f>
        <v/>
      </c>
      <c r="H707">
        <f>G707-MIN(F707,G707)</f>
        <v/>
      </c>
      <c r="I707">
        <f>MIN(F707-MIN(F707,G707),D707)</f>
        <v/>
      </c>
      <c r="J707">
        <f>D707-I707</f>
        <v/>
      </c>
      <c r="K707">
        <f>F707-MIN(F707,G707)-I707</f>
        <v/>
      </c>
    </row>
    <row r="708">
      <c r="A708" s="21">
        <f>IF(Rechner!$E$4&lt;&gt;"ok","",IF(Rechner!$E$5+706&lt;=Rechner!$B$6,Rechner!$E$5+706,""))</f>
        <v/>
      </c>
      <c r="B708">
        <f>IF(A708="","",LOOKUP(A708,Basiszins!$A$5:$A$18,Basiszins!$B$5:$B$18))</f>
        <v/>
      </c>
      <c r="C708">
        <f>IF(A708="","",B708+Rechner!$E$7)</f>
        <v/>
      </c>
      <c r="D708">
        <f>J707</f>
        <v/>
      </c>
      <c r="E708">
        <f>IF(A708="",0,D708*C708/100/(DATE(YEAR(A708)+1,1,1)-DATE(YEAR(A708),1,1)))</f>
        <v/>
      </c>
      <c r="F708">
        <f>IF(A708="",0,SUMIF(Rechner!$A$12:$A$21,A708,Rechner!$B$12:$B$21))</f>
        <v/>
      </c>
      <c r="G708">
        <f>H707+E708</f>
        <v/>
      </c>
      <c r="H708">
        <f>G708-MIN(F708,G708)</f>
        <v/>
      </c>
      <c r="I708">
        <f>MIN(F708-MIN(F708,G708),D708)</f>
        <v/>
      </c>
      <c r="J708">
        <f>D708-I708</f>
        <v/>
      </c>
      <c r="K708">
        <f>F708-MIN(F708,G708)-I708</f>
        <v/>
      </c>
    </row>
    <row r="709">
      <c r="A709" s="21">
        <f>IF(Rechner!$E$4&lt;&gt;"ok","",IF(Rechner!$E$5+707&lt;=Rechner!$B$6,Rechner!$E$5+707,""))</f>
        <v/>
      </c>
      <c r="B709">
        <f>IF(A709="","",LOOKUP(A709,Basiszins!$A$5:$A$18,Basiszins!$B$5:$B$18))</f>
        <v/>
      </c>
      <c r="C709">
        <f>IF(A709="","",B709+Rechner!$E$7)</f>
        <v/>
      </c>
      <c r="D709">
        <f>J708</f>
        <v/>
      </c>
      <c r="E709">
        <f>IF(A709="",0,D709*C709/100/(DATE(YEAR(A709)+1,1,1)-DATE(YEAR(A709),1,1)))</f>
        <v/>
      </c>
      <c r="F709">
        <f>IF(A709="",0,SUMIF(Rechner!$A$12:$A$21,A709,Rechner!$B$12:$B$21))</f>
        <v/>
      </c>
      <c r="G709">
        <f>H708+E709</f>
        <v/>
      </c>
      <c r="H709">
        <f>G709-MIN(F709,G709)</f>
        <v/>
      </c>
      <c r="I709">
        <f>MIN(F709-MIN(F709,G709),D709)</f>
        <v/>
      </c>
      <c r="J709">
        <f>D709-I709</f>
        <v/>
      </c>
      <c r="K709">
        <f>F709-MIN(F709,G709)-I709</f>
        <v/>
      </c>
    </row>
    <row r="710">
      <c r="A710" s="21">
        <f>IF(Rechner!$E$4&lt;&gt;"ok","",IF(Rechner!$E$5+708&lt;=Rechner!$B$6,Rechner!$E$5+708,""))</f>
        <v/>
      </c>
      <c r="B710">
        <f>IF(A710="","",LOOKUP(A710,Basiszins!$A$5:$A$18,Basiszins!$B$5:$B$18))</f>
        <v/>
      </c>
      <c r="C710">
        <f>IF(A710="","",B710+Rechner!$E$7)</f>
        <v/>
      </c>
      <c r="D710">
        <f>J709</f>
        <v/>
      </c>
      <c r="E710">
        <f>IF(A710="",0,D710*C710/100/(DATE(YEAR(A710)+1,1,1)-DATE(YEAR(A710),1,1)))</f>
        <v/>
      </c>
      <c r="F710">
        <f>IF(A710="",0,SUMIF(Rechner!$A$12:$A$21,A710,Rechner!$B$12:$B$21))</f>
        <v/>
      </c>
      <c r="G710">
        <f>H709+E710</f>
        <v/>
      </c>
      <c r="H710">
        <f>G710-MIN(F710,G710)</f>
        <v/>
      </c>
      <c r="I710">
        <f>MIN(F710-MIN(F710,G710),D710)</f>
        <v/>
      </c>
      <c r="J710">
        <f>D710-I710</f>
        <v/>
      </c>
      <c r="K710">
        <f>F710-MIN(F710,G710)-I710</f>
        <v/>
      </c>
    </row>
    <row r="711">
      <c r="A711" s="21">
        <f>IF(Rechner!$E$4&lt;&gt;"ok","",IF(Rechner!$E$5+709&lt;=Rechner!$B$6,Rechner!$E$5+709,""))</f>
        <v/>
      </c>
      <c r="B711">
        <f>IF(A711="","",LOOKUP(A711,Basiszins!$A$5:$A$18,Basiszins!$B$5:$B$18))</f>
        <v/>
      </c>
      <c r="C711">
        <f>IF(A711="","",B711+Rechner!$E$7)</f>
        <v/>
      </c>
      <c r="D711">
        <f>J710</f>
        <v/>
      </c>
      <c r="E711">
        <f>IF(A711="",0,D711*C711/100/(DATE(YEAR(A711)+1,1,1)-DATE(YEAR(A711),1,1)))</f>
        <v/>
      </c>
      <c r="F711">
        <f>IF(A711="",0,SUMIF(Rechner!$A$12:$A$21,A711,Rechner!$B$12:$B$21))</f>
        <v/>
      </c>
      <c r="G711">
        <f>H710+E711</f>
        <v/>
      </c>
      <c r="H711">
        <f>G711-MIN(F711,G711)</f>
        <v/>
      </c>
      <c r="I711">
        <f>MIN(F711-MIN(F711,G711),D711)</f>
        <v/>
      </c>
      <c r="J711">
        <f>D711-I711</f>
        <v/>
      </c>
      <c r="K711">
        <f>F711-MIN(F711,G711)-I711</f>
        <v/>
      </c>
    </row>
    <row r="712">
      <c r="A712" s="21">
        <f>IF(Rechner!$E$4&lt;&gt;"ok","",IF(Rechner!$E$5+710&lt;=Rechner!$B$6,Rechner!$E$5+710,""))</f>
        <v/>
      </c>
      <c r="B712">
        <f>IF(A712="","",LOOKUP(A712,Basiszins!$A$5:$A$18,Basiszins!$B$5:$B$18))</f>
        <v/>
      </c>
      <c r="C712">
        <f>IF(A712="","",B712+Rechner!$E$7)</f>
        <v/>
      </c>
      <c r="D712">
        <f>J711</f>
        <v/>
      </c>
      <c r="E712">
        <f>IF(A712="",0,D712*C712/100/(DATE(YEAR(A712)+1,1,1)-DATE(YEAR(A712),1,1)))</f>
        <v/>
      </c>
      <c r="F712">
        <f>IF(A712="",0,SUMIF(Rechner!$A$12:$A$21,A712,Rechner!$B$12:$B$21))</f>
        <v/>
      </c>
      <c r="G712">
        <f>H711+E712</f>
        <v/>
      </c>
      <c r="H712">
        <f>G712-MIN(F712,G712)</f>
        <v/>
      </c>
      <c r="I712">
        <f>MIN(F712-MIN(F712,G712),D712)</f>
        <v/>
      </c>
      <c r="J712">
        <f>D712-I712</f>
        <v/>
      </c>
      <c r="K712">
        <f>F712-MIN(F712,G712)-I712</f>
        <v/>
      </c>
    </row>
    <row r="713">
      <c r="A713" s="21">
        <f>IF(Rechner!$E$4&lt;&gt;"ok","",IF(Rechner!$E$5+711&lt;=Rechner!$B$6,Rechner!$E$5+711,""))</f>
        <v/>
      </c>
      <c r="B713">
        <f>IF(A713="","",LOOKUP(A713,Basiszins!$A$5:$A$18,Basiszins!$B$5:$B$18))</f>
        <v/>
      </c>
      <c r="C713">
        <f>IF(A713="","",B713+Rechner!$E$7)</f>
        <v/>
      </c>
      <c r="D713">
        <f>J712</f>
        <v/>
      </c>
      <c r="E713">
        <f>IF(A713="",0,D713*C713/100/(DATE(YEAR(A713)+1,1,1)-DATE(YEAR(A713),1,1)))</f>
        <v/>
      </c>
      <c r="F713">
        <f>IF(A713="",0,SUMIF(Rechner!$A$12:$A$21,A713,Rechner!$B$12:$B$21))</f>
        <v/>
      </c>
      <c r="G713">
        <f>H712+E713</f>
        <v/>
      </c>
      <c r="H713">
        <f>G713-MIN(F713,G713)</f>
        <v/>
      </c>
      <c r="I713">
        <f>MIN(F713-MIN(F713,G713),D713)</f>
        <v/>
      </c>
      <c r="J713">
        <f>D713-I713</f>
        <v/>
      </c>
      <c r="K713">
        <f>F713-MIN(F713,G713)-I713</f>
        <v/>
      </c>
    </row>
    <row r="714">
      <c r="A714" s="21">
        <f>IF(Rechner!$E$4&lt;&gt;"ok","",IF(Rechner!$E$5+712&lt;=Rechner!$B$6,Rechner!$E$5+712,""))</f>
        <v/>
      </c>
      <c r="B714">
        <f>IF(A714="","",LOOKUP(A714,Basiszins!$A$5:$A$18,Basiszins!$B$5:$B$18))</f>
        <v/>
      </c>
      <c r="C714">
        <f>IF(A714="","",B714+Rechner!$E$7)</f>
        <v/>
      </c>
      <c r="D714">
        <f>J713</f>
        <v/>
      </c>
      <c r="E714">
        <f>IF(A714="",0,D714*C714/100/(DATE(YEAR(A714)+1,1,1)-DATE(YEAR(A714),1,1)))</f>
        <v/>
      </c>
      <c r="F714">
        <f>IF(A714="",0,SUMIF(Rechner!$A$12:$A$21,A714,Rechner!$B$12:$B$21))</f>
        <v/>
      </c>
      <c r="G714">
        <f>H713+E714</f>
        <v/>
      </c>
      <c r="H714">
        <f>G714-MIN(F714,G714)</f>
        <v/>
      </c>
      <c r="I714">
        <f>MIN(F714-MIN(F714,G714),D714)</f>
        <v/>
      </c>
      <c r="J714">
        <f>D714-I714</f>
        <v/>
      </c>
      <c r="K714">
        <f>F714-MIN(F714,G714)-I714</f>
        <v/>
      </c>
    </row>
    <row r="715">
      <c r="A715" s="21">
        <f>IF(Rechner!$E$4&lt;&gt;"ok","",IF(Rechner!$E$5+713&lt;=Rechner!$B$6,Rechner!$E$5+713,""))</f>
        <v/>
      </c>
      <c r="B715">
        <f>IF(A715="","",LOOKUP(A715,Basiszins!$A$5:$A$18,Basiszins!$B$5:$B$18))</f>
        <v/>
      </c>
      <c r="C715">
        <f>IF(A715="","",B715+Rechner!$E$7)</f>
        <v/>
      </c>
      <c r="D715">
        <f>J714</f>
        <v/>
      </c>
      <c r="E715">
        <f>IF(A715="",0,D715*C715/100/(DATE(YEAR(A715)+1,1,1)-DATE(YEAR(A715),1,1)))</f>
        <v/>
      </c>
      <c r="F715">
        <f>IF(A715="",0,SUMIF(Rechner!$A$12:$A$21,A715,Rechner!$B$12:$B$21))</f>
        <v/>
      </c>
      <c r="G715">
        <f>H714+E715</f>
        <v/>
      </c>
      <c r="H715">
        <f>G715-MIN(F715,G715)</f>
        <v/>
      </c>
      <c r="I715">
        <f>MIN(F715-MIN(F715,G715),D715)</f>
        <v/>
      </c>
      <c r="J715">
        <f>D715-I715</f>
        <v/>
      </c>
      <c r="K715">
        <f>F715-MIN(F715,G715)-I715</f>
        <v/>
      </c>
    </row>
    <row r="716">
      <c r="A716" s="21">
        <f>IF(Rechner!$E$4&lt;&gt;"ok","",IF(Rechner!$E$5+714&lt;=Rechner!$B$6,Rechner!$E$5+714,""))</f>
        <v/>
      </c>
      <c r="B716">
        <f>IF(A716="","",LOOKUP(A716,Basiszins!$A$5:$A$18,Basiszins!$B$5:$B$18))</f>
        <v/>
      </c>
      <c r="C716">
        <f>IF(A716="","",B716+Rechner!$E$7)</f>
        <v/>
      </c>
      <c r="D716">
        <f>J715</f>
        <v/>
      </c>
      <c r="E716">
        <f>IF(A716="",0,D716*C716/100/(DATE(YEAR(A716)+1,1,1)-DATE(YEAR(A716),1,1)))</f>
        <v/>
      </c>
      <c r="F716">
        <f>IF(A716="",0,SUMIF(Rechner!$A$12:$A$21,A716,Rechner!$B$12:$B$21))</f>
        <v/>
      </c>
      <c r="G716">
        <f>H715+E716</f>
        <v/>
      </c>
      <c r="H716">
        <f>G716-MIN(F716,G716)</f>
        <v/>
      </c>
      <c r="I716">
        <f>MIN(F716-MIN(F716,G716),D716)</f>
        <v/>
      </c>
      <c r="J716">
        <f>D716-I716</f>
        <v/>
      </c>
      <c r="K716">
        <f>F716-MIN(F716,G716)-I716</f>
        <v/>
      </c>
    </row>
    <row r="717">
      <c r="A717" s="21">
        <f>IF(Rechner!$E$4&lt;&gt;"ok","",IF(Rechner!$E$5+715&lt;=Rechner!$B$6,Rechner!$E$5+715,""))</f>
        <v/>
      </c>
      <c r="B717">
        <f>IF(A717="","",LOOKUP(A717,Basiszins!$A$5:$A$18,Basiszins!$B$5:$B$18))</f>
        <v/>
      </c>
      <c r="C717">
        <f>IF(A717="","",B717+Rechner!$E$7)</f>
        <v/>
      </c>
      <c r="D717">
        <f>J716</f>
        <v/>
      </c>
      <c r="E717">
        <f>IF(A717="",0,D717*C717/100/(DATE(YEAR(A717)+1,1,1)-DATE(YEAR(A717),1,1)))</f>
        <v/>
      </c>
      <c r="F717">
        <f>IF(A717="",0,SUMIF(Rechner!$A$12:$A$21,A717,Rechner!$B$12:$B$21))</f>
        <v/>
      </c>
      <c r="G717">
        <f>H716+E717</f>
        <v/>
      </c>
      <c r="H717">
        <f>G717-MIN(F717,G717)</f>
        <v/>
      </c>
      <c r="I717">
        <f>MIN(F717-MIN(F717,G717),D717)</f>
        <v/>
      </c>
      <c r="J717">
        <f>D717-I717</f>
        <v/>
      </c>
      <c r="K717">
        <f>F717-MIN(F717,G717)-I717</f>
        <v/>
      </c>
    </row>
    <row r="718">
      <c r="A718" s="21">
        <f>IF(Rechner!$E$4&lt;&gt;"ok","",IF(Rechner!$E$5+716&lt;=Rechner!$B$6,Rechner!$E$5+716,""))</f>
        <v/>
      </c>
      <c r="B718">
        <f>IF(A718="","",LOOKUP(A718,Basiszins!$A$5:$A$18,Basiszins!$B$5:$B$18))</f>
        <v/>
      </c>
      <c r="C718">
        <f>IF(A718="","",B718+Rechner!$E$7)</f>
        <v/>
      </c>
      <c r="D718">
        <f>J717</f>
        <v/>
      </c>
      <c r="E718">
        <f>IF(A718="",0,D718*C718/100/(DATE(YEAR(A718)+1,1,1)-DATE(YEAR(A718),1,1)))</f>
        <v/>
      </c>
      <c r="F718">
        <f>IF(A718="",0,SUMIF(Rechner!$A$12:$A$21,A718,Rechner!$B$12:$B$21))</f>
        <v/>
      </c>
      <c r="G718">
        <f>H717+E718</f>
        <v/>
      </c>
      <c r="H718">
        <f>G718-MIN(F718,G718)</f>
        <v/>
      </c>
      <c r="I718">
        <f>MIN(F718-MIN(F718,G718),D718)</f>
        <v/>
      </c>
      <c r="J718">
        <f>D718-I718</f>
        <v/>
      </c>
      <c r="K718">
        <f>F718-MIN(F718,G718)-I718</f>
        <v/>
      </c>
    </row>
    <row r="719">
      <c r="A719" s="21">
        <f>IF(Rechner!$E$4&lt;&gt;"ok","",IF(Rechner!$E$5+717&lt;=Rechner!$B$6,Rechner!$E$5+717,""))</f>
        <v/>
      </c>
      <c r="B719">
        <f>IF(A719="","",LOOKUP(A719,Basiszins!$A$5:$A$18,Basiszins!$B$5:$B$18))</f>
        <v/>
      </c>
      <c r="C719">
        <f>IF(A719="","",B719+Rechner!$E$7)</f>
        <v/>
      </c>
      <c r="D719">
        <f>J718</f>
        <v/>
      </c>
      <c r="E719">
        <f>IF(A719="",0,D719*C719/100/(DATE(YEAR(A719)+1,1,1)-DATE(YEAR(A719),1,1)))</f>
        <v/>
      </c>
      <c r="F719">
        <f>IF(A719="",0,SUMIF(Rechner!$A$12:$A$21,A719,Rechner!$B$12:$B$21))</f>
        <v/>
      </c>
      <c r="G719">
        <f>H718+E719</f>
        <v/>
      </c>
      <c r="H719">
        <f>G719-MIN(F719,G719)</f>
        <v/>
      </c>
      <c r="I719">
        <f>MIN(F719-MIN(F719,G719),D719)</f>
        <v/>
      </c>
      <c r="J719">
        <f>D719-I719</f>
        <v/>
      </c>
      <c r="K719">
        <f>F719-MIN(F719,G719)-I719</f>
        <v/>
      </c>
    </row>
    <row r="720">
      <c r="A720" s="21">
        <f>IF(Rechner!$E$4&lt;&gt;"ok","",IF(Rechner!$E$5+718&lt;=Rechner!$B$6,Rechner!$E$5+718,""))</f>
        <v/>
      </c>
      <c r="B720">
        <f>IF(A720="","",LOOKUP(A720,Basiszins!$A$5:$A$18,Basiszins!$B$5:$B$18))</f>
        <v/>
      </c>
      <c r="C720">
        <f>IF(A720="","",B720+Rechner!$E$7)</f>
        <v/>
      </c>
      <c r="D720">
        <f>J719</f>
        <v/>
      </c>
      <c r="E720">
        <f>IF(A720="",0,D720*C720/100/(DATE(YEAR(A720)+1,1,1)-DATE(YEAR(A720),1,1)))</f>
        <v/>
      </c>
      <c r="F720">
        <f>IF(A720="",0,SUMIF(Rechner!$A$12:$A$21,A720,Rechner!$B$12:$B$21))</f>
        <v/>
      </c>
      <c r="G720">
        <f>H719+E720</f>
        <v/>
      </c>
      <c r="H720">
        <f>G720-MIN(F720,G720)</f>
        <v/>
      </c>
      <c r="I720">
        <f>MIN(F720-MIN(F720,G720),D720)</f>
        <v/>
      </c>
      <c r="J720">
        <f>D720-I720</f>
        <v/>
      </c>
      <c r="K720">
        <f>F720-MIN(F720,G720)-I720</f>
        <v/>
      </c>
    </row>
    <row r="721">
      <c r="A721" s="21">
        <f>IF(Rechner!$E$4&lt;&gt;"ok","",IF(Rechner!$E$5+719&lt;=Rechner!$B$6,Rechner!$E$5+719,""))</f>
        <v/>
      </c>
      <c r="B721">
        <f>IF(A721="","",LOOKUP(A721,Basiszins!$A$5:$A$18,Basiszins!$B$5:$B$18))</f>
        <v/>
      </c>
      <c r="C721">
        <f>IF(A721="","",B721+Rechner!$E$7)</f>
        <v/>
      </c>
      <c r="D721">
        <f>J720</f>
        <v/>
      </c>
      <c r="E721">
        <f>IF(A721="",0,D721*C721/100/(DATE(YEAR(A721)+1,1,1)-DATE(YEAR(A721),1,1)))</f>
        <v/>
      </c>
      <c r="F721">
        <f>IF(A721="",0,SUMIF(Rechner!$A$12:$A$21,A721,Rechner!$B$12:$B$21))</f>
        <v/>
      </c>
      <c r="G721">
        <f>H720+E721</f>
        <v/>
      </c>
      <c r="H721">
        <f>G721-MIN(F721,G721)</f>
        <v/>
      </c>
      <c r="I721">
        <f>MIN(F721-MIN(F721,G721),D721)</f>
        <v/>
      </c>
      <c r="J721">
        <f>D721-I721</f>
        <v/>
      </c>
      <c r="K721">
        <f>F721-MIN(F721,G721)-I721</f>
        <v/>
      </c>
    </row>
    <row r="722">
      <c r="A722" s="21">
        <f>IF(Rechner!$E$4&lt;&gt;"ok","",IF(Rechner!$E$5+720&lt;=Rechner!$B$6,Rechner!$E$5+720,""))</f>
        <v/>
      </c>
      <c r="B722">
        <f>IF(A722="","",LOOKUP(A722,Basiszins!$A$5:$A$18,Basiszins!$B$5:$B$18))</f>
        <v/>
      </c>
      <c r="C722">
        <f>IF(A722="","",B722+Rechner!$E$7)</f>
        <v/>
      </c>
      <c r="D722">
        <f>J721</f>
        <v/>
      </c>
      <c r="E722">
        <f>IF(A722="",0,D722*C722/100/(DATE(YEAR(A722)+1,1,1)-DATE(YEAR(A722),1,1)))</f>
        <v/>
      </c>
      <c r="F722">
        <f>IF(A722="",0,SUMIF(Rechner!$A$12:$A$21,A722,Rechner!$B$12:$B$21))</f>
        <v/>
      </c>
      <c r="G722">
        <f>H721+E722</f>
        <v/>
      </c>
      <c r="H722">
        <f>G722-MIN(F722,G722)</f>
        <v/>
      </c>
      <c r="I722">
        <f>MIN(F722-MIN(F722,G722),D722)</f>
        <v/>
      </c>
      <c r="J722">
        <f>D722-I722</f>
        <v/>
      </c>
      <c r="K722">
        <f>F722-MIN(F722,G722)-I722</f>
        <v/>
      </c>
    </row>
    <row r="723">
      <c r="A723" s="21">
        <f>IF(Rechner!$E$4&lt;&gt;"ok","",IF(Rechner!$E$5+721&lt;=Rechner!$B$6,Rechner!$E$5+721,""))</f>
        <v/>
      </c>
      <c r="B723">
        <f>IF(A723="","",LOOKUP(A723,Basiszins!$A$5:$A$18,Basiszins!$B$5:$B$18))</f>
        <v/>
      </c>
      <c r="C723">
        <f>IF(A723="","",B723+Rechner!$E$7)</f>
        <v/>
      </c>
      <c r="D723">
        <f>J722</f>
        <v/>
      </c>
      <c r="E723">
        <f>IF(A723="",0,D723*C723/100/(DATE(YEAR(A723)+1,1,1)-DATE(YEAR(A723),1,1)))</f>
        <v/>
      </c>
      <c r="F723">
        <f>IF(A723="",0,SUMIF(Rechner!$A$12:$A$21,A723,Rechner!$B$12:$B$21))</f>
        <v/>
      </c>
      <c r="G723">
        <f>H722+E723</f>
        <v/>
      </c>
      <c r="H723">
        <f>G723-MIN(F723,G723)</f>
        <v/>
      </c>
      <c r="I723">
        <f>MIN(F723-MIN(F723,G723),D723)</f>
        <v/>
      </c>
      <c r="J723">
        <f>D723-I723</f>
        <v/>
      </c>
      <c r="K723">
        <f>F723-MIN(F723,G723)-I723</f>
        <v/>
      </c>
    </row>
    <row r="724">
      <c r="A724" s="21">
        <f>IF(Rechner!$E$4&lt;&gt;"ok","",IF(Rechner!$E$5+722&lt;=Rechner!$B$6,Rechner!$E$5+722,""))</f>
        <v/>
      </c>
      <c r="B724">
        <f>IF(A724="","",LOOKUP(A724,Basiszins!$A$5:$A$18,Basiszins!$B$5:$B$18))</f>
        <v/>
      </c>
      <c r="C724">
        <f>IF(A724="","",B724+Rechner!$E$7)</f>
        <v/>
      </c>
      <c r="D724">
        <f>J723</f>
        <v/>
      </c>
      <c r="E724">
        <f>IF(A724="",0,D724*C724/100/(DATE(YEAR(A724)+1,1,1)-DATE(YEAR(A724),1,1)))</f>
        <v/>
      </c>
      <c r="F724">
        <f>IF(A724="",0,SUMIF(Rechner!$A$12:$A$21,A724,Rechner!$B$12:$B$21))</f>
        <v/>
      </c>
      <c r="G724">
        <f>H723+E724</f>
        <v/>
      </c>
      <c r="H724">
        <f>G724-MIN(F724,G724)</f>
        <v/>
      </c>
      <c r="I724">
        <f>MIN(F724-MIN(F724,G724),D724)</f>
        <v/>
      </c>
      <c r="J724">
        <f>D724-I724</f>
        <v/>
      </c>
      <c r="K724">
        <f>F724-MIN(F724,G724)-I724</f>
        <v/>
      </c>
    </row>
    <row r="725">
      <c r="A725" s="21">
        <f>IF(Rechner!$E$4&lt;&gt;"ok","",IF(Rechner!$E$5+723&lt;=Rechner!$B$6,Rechner!$E$5+723,""))</f>
        <v/>
      </c>
      <c r="B725">
        <f>IF(A725="","",LOOKUP(A725,Basiszins!$A$5:$A$18,Basiszins!$B$5:$B$18))</f>
        <v/>
      </c>
      <c r="C725">
        <f>IF(A725="","",B725+Rechner!$E$7)</f>
        <v/>
      </c>
      <c r="D725">
        <f>J724</f>
        <v/>
      </c>
      <c r="E725">
        <f>IF(A725="",0,D725*C725/100/(DATE(YEAR(A725)+1,1,1)-DATE(YEAR(A725),1,1)))</f>
        <v/>
      </c>
      <c r="F725">
        <f>IF(A725="",0,SUMIF(Rechner!$A$12:$A$21,A725,Rechner!$B$12:$B$21))</f>
        <v/>
      </c>
      <c r="G725">
        <f>H724+E725</f>
        <v/>
      </c>
      <c r="H725">
        <f>G725-MIN(F725,G725)</f>
        <v/>
      </c>
      <c r="I725">
        <f>MIN(F725-MIN(F725,G725),D725)</f>
        <v/>
      </c>
      <c r="J725">
        <f>D725-I725</f>
        <v/>
      </c>
      <c r="K725">
        <f>F725-MIN(F725,G725)-I725</f>
        <v/>
      </c>
    </row>
    <row r="726">
      <c r="A726" s="21">
        <f>IF(Rechner!$E$4&lt;&gt;"ok","",IF(Rechner!$E$5+724&lt;=Rechner!$B$6,Rechner!$E$5+724,""))</f>
        <v/>
      </c>
      <c r="B726">
        <f>IF(A726="","",LOOKUP(A726,Basiszins!$A$5:$A$18,Basiszins!$B$5:$B$18))</f>
        <v/>
      </c>
      <c r="C726">
        <f>IF(A726="","",B726+Rechner!$E$7)</f>
        <v/>
      </c>
      <c r="D726">
        <f>J725</f>
        <v/>
      </c>
      <c r="E726">
        <f>IF(A726="",0,D726*C726/100/(DATE(YEAR(A726)+1,1,1)-DATE(YEAR(A726),1,1)))</f>
        <v/>
      </c>
      <c r="F726">
        <f>IF(A726="",0,SUMIF(Rechner!$A$12:$A$21,A726,Rechner!$B$12:$B$21))</f>
        <v/>
      </c>
      <c r="G726">
        <f>H725+E726</f>
        <v/>
      </c>
      <c r="H726">
        <f>G726-MIN(F726,G726)</f>
        <v/>
      </c>
      <c r="I726">
        <f>MIN(F726-MIN(F726,G726),D726)</f>
        <v/>
      </c>
      <c r="J726">
        <f>D726-I726</f>
        <v/>
      </c>
      <c r="K726">
        <f>F726-MIN(F726,G726)-I726</f>
        <v/>
      </c>
    </row>
    <row r="727">
      <c r="A727" s="21">
        <f>IF(Rechner!$E$4&lt;&gt;"ok","",IF(Rechner!$E$5+725&lt;=Rechner!$B$6,Rechner!$E$5+725,""))</f>
        <v/>
      </c>
      <c r="B727">
        <f>IF(A727="","",LOOKUP(A727,Basiszins!$A$5:$A$18,Basiszins!$B$5:$B$18))</f>
        <v/>
      </c>
      <c r="C727">
        <f>IF(A727="","",B727+Rechner!$E$7)</f>
        <v/>
      </c>
      <c r="D727">
        <f>J726</f>
        <v/>
      </c>
      <c r="E727">
        <f>IF(A727="",0,D727*C727/100/(DATE(YEAR(A727)+1,1,1)-DATE(YEAR(A727),1,1)))</f>
        <v/>
      </c>
      <c r="F727">
        <f>IF(A727="",0,SUMIF(Rechner!$A$12:$A$21,A727,Rechner!$B$12:$B$21))</f>
        <v/>
      </c>
      <c r="G727">
        <f>H726+E727</f>
        <v/>
      </c>
      <c r="H727">
        <f>G727-MIN(F727,G727)</f>
        <v/>
      </c>
      <c r="I727">
        <f>MIN(F727-MIN(F727,G727),D727)</f>
        <v/>
      </c>
      <c r="J727">
        <f>D727-I727</f>
        <v/>
      </c>
      <c r="K727">
        <f>F727-MIN(F727,G727)-I727</f>
        <v/>
      </c>
    </row>
    <row r="728">
      <c r="A728" s="21">
        <f>IF(Rechner!$E$4&lt;&gt;"ok","",IF(Rechner!$E$5+726&lt;=Rechner!$B$6,Rechner!$E$5+726,""))</f>
        <v/>
      </c>
      <c r="B728">
        <f>IF(A728="","",LOOKUP(A728,Basiszins!$A$5:$A$18,Basiszins!$B$5:$B$18))</f>
        <v/>
      </c>
      <c r="C728">
        <f>IF(A728="","",B728+Rechner!$E$7)</f>
        <v/>
      </c>
      <c r="D728">
        <f>J727</f>
        <v/>
      </c>
      <c r="E728">
        <f>IF(A728="",0,D728*C728/100/(DATE(YEAR(A728)+1,1,1)-DATE(YEAR(A728),1,1)))</f>
        <v/>
      </c>
      <c r="F728">
        <f>IF(A728="",0,SUMIF(Rechner!$A$12:$A$21,A728,Rechner!$B$12:$B$21))</f>
        <v/>
      </c>
      <c r="G728">
        <f>H727+E728</f>
        <v/>
      </c>
      <c r="H728">
        <f>G728-MIN(F728,G728)</f>
        <v/>
      </c>
      <c r="I728">
        <f>MIN(F728-MIN(F728,G728),D728)</f>
        <v/>
      </c>
      <c r="J728">
        <f>D728-I728</f>
        <v/>
      </c>
      <c r="K728">
        <f>F728-MIN(F728,G728)-I728</f>
        <v/>
      </c>
    </row>
    <row r="729">
      <c r="A729" s="21">
        <f>IF(Rechner!$E$4&lt;&gt;"ok","",IF(Rechner!$E$5+727&lt;=Rechner!$B$6,Rechner!$E$5+727,""))</f>
        <v/>
      </c>
      <c r="B729">
        <f>IF(A729="","",LOOKUP(A729,Basiszins!$A$5:$A$18,Basiszins!$B$5:$B$18))</f>
        <v/>
      </c>
      <c r="C729">
        <f>IF(A729="","",B729+Rechner!$E$7)</f>
        <v/>
      </c>
      <c r="D729">
        <f>J728</f>
        <v/>
      </c>
      <c r="E729">
        <f>IF(A729="",0,D729*C729/100/(DATE(YEAR(A729)+1,1,1)-DATE(YEAR(A729),1,1)))</f>
        <v/>
      </c>
      <c r="F729">
        <f>IF(A729="",0,SUMIF(Rechner!$A$12:$A$21,A729,Rechner!$B$12:$B$21))</f>
        <v/>
      </c>
      <c r="G729">
        <f>H728+E729</f>
        <v/>
      </c>
      <c r="H729">
        <f>G729-MIN(F729,G729)</f>
        <v/>
      </c>
      <c r="I729">
        <f>MIN(F729-MIN(F729,G729),D729)</f>
        <v/>
      </c>
      <c r="J729">
        <f>D729-I729</f>
        <v/>
      </c>
      <c r="K729">
        <f>F729-MIN(F729,G729)-I729</f>
        <v/>
      </c>
    </row>
    <row r="730">
      <c r="A730" s="21">
        <f>IF(Rechner!$E$4&lt;&gt;"ok","",IF(Rechner!$E$5+728&lt;=Rechner!$B$6,Rechner!$E$5+728,""))</f>
        <v/>
      </c>
      <c r="B730">
        <f>IF(A730="","",LOOKUP(A730,Basiszins!$A$5:$A$18,Basiszins!$B$5:$B$18))</f>
        <v/>
      </c>
      <c r="C730">
        <f>IF(A730="","",B730+Rechner!$E$7)</f>
        <v/>
      </c>
      <c r="D730">
        <f>J729</f>
        <v/>
      </c>
      <c r="E730">
        <f>IF(A730="",0,D730*C730/100/(DATE(YEAR(A730)+1,1,1)-DATE(YEAR(A730),1,1)))</f>
        <v/>
      </c>
      <c r="F730">
        <f>IF(A730="",0,SUMIF(Rechner!$A$12:$A$21,A730,Rechner!$B$12:$B$21))</f>
        <v/>
      </c>
      <c r="G730">
        <f>H729+E730</f>
        <v/>
      </c>
      <c r="H730">
        <f>G730-MIN(F730,G730)</f>
        <v/>
      </c>
      <c r="I730">
        <f>MIN(F730-MIN(F730,G730),D730)</f>
        <v/>
      </c>
      <c r="J730">
        <f>D730-I730</f>
        <v/>
      </c>
      <c r="K730">
        <f>F730-MIN(F730,G730)-I730</f>
        <v/>
      </c>
    </row>
    <row r="731">
      <c r="A731" s="21">
        <f>IF(Rechner!$E$4&lt;&gt;"ok","",IF(Rechner!$E$5+729&lt;=Rechner!$B$6,Rechner!$E$5+729,""))</f>
        <v/>
      </c>
      <c r="B731">
        <f>IF(A731="","",LOOKUP(A731,Basiszins!$A$5:$A$18,Basiszins!$B$5:$B$18))</f>
        <v/>
      </c>
      <c r="C731">
        <f>IF(A731="","",B731+Rechner!$E$7)</f>
        <v/>
      </c>
      <c r="D731">
        <f>J730</f>
        <v/>
      </c>
      <c r="E731">
        <f>IF(A731="",0,D731*C731/100/(DATE(YEAR(A731)+1,1,1)-DATE(YEAR(A731),1,1)))</f>
        <v/>
      </c>
      <c r="F731">
        <f>IF(A731="",0,SUMIF(Rechner!$A$12:$A$21,A731,Rechner!$B$12:$B$21))</f>
        <v/>
      </c>
      <c r="G731">
        <f>H730+E731</f>
        <v/>
      </c>
      <c r="H731">
        <f>G731-MIN(F731,G731)</f>
        <v/>
      </c>
      <c r="I731">
        <f>MIN(F731-MIN(F731,G731),D731)</f>
        <v/>
      </c>
      <c r="J731">
        <f>D731-I731</f>
        <v/>
      </c>
      <c r="K731">
        <f>F731-MIN(F731,G731)-I731</f>
        <v/>
      </c>
    </row>
    <row r="732">
      <c r="A732" s="21">
        <f>IF(Rechner!$E$4&lt;&gt;"ok","",IF(Rechner!$E$5+730&lt;=Rechner!$B$6,Rechner!$E$5+730,""))</f>
        <v/>
      </c>
      <c r="B732">
        <f>IF(A732="","",LOOKUP(A732,Basiszins!$A$5:$A$18,Basiszins!$B$5:$B$18))</f>
        <v/>
      </c>
      <c r="C732">
        <f>IF(A732="","",B732+Rechner!$E$7)</f>
        <v/>
      </c>
      <c r="D732">
        <f>J731</f>
        <v/>
      </c>
      <c r="E732">
        <f>IF(A732="",0,D732*C732/100/(DATE(YEAR(A732)+1,1,1)-DATE(YEAR(A732),1,1)))</f>
        <v/>
      </c>
      <c r="F732">
        <f>IF(A732="",0,SUMIF(Rechner!$A$12:$A$21,A732,Rechner!$B$12:$B$21))</f>
        <v/>
      </c>
      <c r="G732">
        <f>H731+E732</f>
        <v/>
      </c>
      <c r="H732">
        <f>G732-MIN(F732,G732)</f>
        <v/>
      </c>
      <c r="I732">
        <f>MIN(F732-MIN(F732,G732),D732)</f>
        <v/>
      </c>
      <c r="J732">
        <f>D732-I732</f>
        <v/>
      </c>
      <c r="K732">
        <f>F732-MIN(F732,G732)-I732</f>
        <v/>
      </c>
    </row>
    <row r="733">
      <c r="A733" s="21">
        <f>IF(Rechner!$E$4&lt;&gt;"ok","",IF(Rechner!$E$5+731&lt;=Rechner!$B$6,Rechner!$E$5+731,""))</f>
        <v/>
      </c>
      <c r="B733">
        <f>IF(A733="","",LOOKUP(A733,Basiszins!$A$5:$A$18,Basiszins!$B$5:$B$18))</f>
        <v/>
      </c>
      <c r="C733">
        <f>IF(A733="","",B733+Rechner!$E$7)</f>
        <v/>
      </c>
      <c r="D733">
        <f>J732</f>
        <v/>
      </c>
      <c r="E733">
        <f>IF(A733="",0,D733*C733/100/(DATE(YEAR(A733)+1,1,1)-DATE(YEAR(A733),1,1)))</f>
        <v/>
      </c>
      <c r="F733">
        <f>IF(A733="",0,SUMIF(Rechner!$A$12:$A$21,A733,Rechner!$B$12:$B$21))</f>
        <v/>
      </c>
      <c r="G733">
        <f>H732+E733</f>
        <v/>
      </c>
      <c r="H733">
        <f>G733-MIN(F733,G733)</f>
        <v/>
      </c>
      <c r="I733">
        <f>MIN(F733-MIN(F733,G733),D733)</f>
        <v/>
      </c>
      <c r="J733">
        <f>D733-I733</f>
        <v/>
      </c>
      <c r="K733">
        <f>F733-MIN(F733,G733)-I733</f>
        <v/>
      </c>
    </row>
    <row r="734">
      <c r="A734" s="21">
        <f>IF(Rechner!$E$4&lt;&gt;"ok","",IF(Rechner!$E$5+732&lt;=Rechner!$B$6,Rechner!$E$5+732,""))</f>
        <v/>
      </c>
      <c r="B734">
        <f>IF(A734="","",LOOKUP(A734,Basiszins!$A$5:$A$18,Basiszins!$B$5:$B$18))</f>
        <v/>
      </c>
      <c r="C734">
        <f>IF(A734="","",B734+Rechner!$E$7)</f>
        <v/>
      </c>
      <c r="D734">
        <f>J733</f>
        <v/>
      </c>
      <c r="E734">
        <f>IF(A734="",0,D734*C734/100/(DATE(YEAR(A734)+1,1,1)-DATE(YEAR(A734),1,1)))</f>
        <v/>
      </c>
      <c r="F734">
        <f>IF(A734="",0,SUMIF(Rechner!$A$12:$A$21,A734,Rechner!$B$12:$B$21))</f>
        <v/>
      </c>
      <c r="G734">
        <f>H733+E734</f>
        <v/>
      </c>
      <c r="H734">
        <f>G734-MIN(F734,G734)</f>
        <v/>
      </c>
      <c r="I734">
        <f>MIN(F734-MIN(F734,G734),D734)</f>
        <v/>
      </c>
      <c r="J734">
        <f>D734-I734</f>
        <v/>
      </c>
      <c r="K734">
        <f>F734-MIN(F734,G734)-I734</f>
        <v/>
      </c>
    </row>
    <row r="735">
      <c r="A735" s="21">
        <f>IF(Rechner!$E$4&lt;&gt;"ok","",IF(Rechner!$E$5+733&lt;=Rechner!$B$6,Rechner!$E$5+733,""))</f>
        <v/>
      </c>
      <c r="B735">
        <f>IF(A735="","",LOOKUP(A735,Basiszins!$A$5:$A$18,Basiszins!$B$5:$B$18))</f>
        <v/>
      </c>
      <c r="C735">
        <f>IF(A735="","",B735+Rechner!$E$7)</f>
        <v/>
      </c>
      <c r="D735">
        <f>J734</f>
        <v/>
      </c>
      <c r="E735">
        <f>IF(A735="",0,D735*C735/100/(DATE(YEAR(A735)+1,1,1)-DATE(YEAR(A735),1,1)))</f>
        <v/>
      </c>
      <c r="F735">
        <f>IF(A735="",0,SUMIF(Rechner!$A$12:$A$21,A735,Rechner!$B$12:$B$21))</f>
        <v/>
      </c>
      <c r="G735">
        <f>H734+E735</f>
        <v/>
      </c>
      <c r="H735">
        <f>G735-MIN(F735,G735)</f>
        <v/>
      </c>
      <c r="I735">
        <f>MIN(F735-MIN(F735,G735),D735)</f>
        <v/>
      </c>
      <c r="J735">
        <f>D735-I735</f>
        <v/>
      </c>
      <c r="K735">
        <f>F735-MIN(F735,G735)-I735</f>
        <v/>
      </c>
    </row>
    <row r="736">
      <c r="A736" s="21">
        <f>IF(Rechner!$E$4&lt;&gt;"ok","",IF(Rechner!$E$5+734&lt;=Rechner!$B$6,Rechner!$E$5+734,""))</f>
        <v/>
      </c>
      <c r="B736">
        <f>IF(A736="","",LOOKUP(A736,Basiszins!$A$5:$A$18,Basiszins!$B$5:$B$18))</f>
        <v/>
      </c>
      <c r="C736">
        <f>IF(A736="","",B736+Rechner!$E$7)</f>
        <v/>
      </c>
      <c r="D736">
        <f>J735</f>
        <v/>
      </c>
      <c r="E736">
        <f>IF(A736="",0,D736*C736/100/(DATE(YEAR(A736)+1,1,1)-DATE(YEAR(A736),1,1)))</f>
        <v/>
      </c>
      <c r="F736">
        <f>IF(A736="",0,SUMIF(Rechner!$A$12:$A$21,A736,Rechner!$B$12:$B$21))</f>
        <v/>
      </c>
      <c r="G736">
        <f>H735+E736</f>
        <v/>
      </c>
      <c r="H736">
        <f>G736-MIN(F736,G736)</f>
        <v/>
      </c>
      <c r="I736">
        <f>MIN(F736-MIN(F736,G736),D736)</f>
        <v/>
      </c>
      <c r="J736">
        <f>D736-I736</f>
        <v/>
      </c>
      <c r="K736">
        <f>F736-MIN(F736,G736)-I736</f>
        <v/>
      </c>
    </row>
    <row r="737">
      <c r="A737" s="21">
        <f>IF(Rechner!$E$4&lt;&gt;"ok","",IF(Rechner!$E$5+735&lt;=Rechner!$B$6,Rechner!$E$5+735,""))</f>
        <v/>
      </c>
      <c r="B737">
        <f>IF(A737="","",LOOKUP(A737,Basiszins!$A$5:$A$18,Basiszins!$B$5:$B$18))</f>
        <v/>
      </c>
      <c r="C737">
        <f>IF(A737="","",B737+Rechner!$E$7)</f>
        <v/>
      </c>
      <c r="D737">
        <f>J736</f>
        <v/>
      </c>
      <c r="E737">
        <f>IF(A737="",0,D737*C737/100/(DATE(YEAR(A737)+1,1,1)-DATE(YEAR(A737),1,1)))</f>
        <v/>
      </c>
      <c r="F737">
        <f>IF(A737="",0,SUMIF(Rechner!$A$12:$A$21,A737,Rechner!$B$12:$B$21))</f>
        <v/>
      </c>
      <c r="G737">
        <f>H736+E737</f>
        <v/>
      </c>
      <c r="H737">
        <f>G737-MIN(F737,G737)</f>
        <v/>
      </c>
      <c r="I737">
        <f>MIN(F737-MIN(F737,G737),D737)</f>
        <v/>
      </c>
      <c r="J737">
        <f>D737-I737</f>
        <v/>
      </c>
      <c r="K737">
        <f>F737-MIN(F737,G737)-I737</f>
        <v/>
      </c>
    </row>
    <row r="738">
      <c r="A738" s="21">
        <f>IF(Rechner!$E$4&lt;&gt;"ok","",IF(Rechner!$E$5+736&lt;=Rechner!$B$6,Rechner!$E$5+736,""))</f>
        <v/>
      </c>
      <c r="B738">
        <f>IF(A738="","",LOOKUP(A738,Basiszins!$A$5:$A$18,Basiszins!$B$5:$B$18))</f>
        <v/>
      </c>
      <c r="C738">
        <f>IF(A738="","",B738+Rechner!$E$7)</f>
        <v/>
      </c>
      <c r="D738">
        <f>J737</f>
        <v/>
      </c>
      <c r="E738">
        <f>IF(A738="",0,D738*C738/100/(DATE(YEAR(A738)+1,1,1)-DATE(YEAR(A738),1,1)))</f>
        <v/>
      </c>
      <c r="F738">
        <f>IF(A738="",0,SUMIF(Rechner!$A$12:$A$21,A738,Rechner!$B$12:$B$21))</f>
        <v/>
      </c>
      <c r="G738">
        <f>H737+E738</f>
        <v/>
      </c>
      <c r="H738">
        <f>G738-MIN(F738,G738)</f>
        <v/>
      </c>
      <c r="I738">
        <f>MIN(F738-MIN(F738,G738),D738)</f>
        <v/>
      </c>
      <c r="J738">
        <f>D738-I738</f>
        <v/>
      </c>
      <c r="K738">
        <f>F738-MIN(F738,G738)-I738</f>
        <v/>
      </c>
    </row>
    <row r="739">
      <c r="A739" s="21">
        <f>IF(Rechner!$E$4&lt;&gt;"ok","",IF(Rechner!$E$5+737&lt;=Rechner!$B$6,Rechner!$E$5+737,""))</f>
        <v/>
      </c>
      <c r="B739">
        <f>IF(A739="","",LOOKUP(A739,Basiszins!$A$5:$A$18,Basiszins!$B$5:$B$18))</f>
        <v/>
      </c>
      <c r="C739">
        <f>IF(A739="","",B739+Rechner!$E$7)</f>
        <v/>
      </c>
      <c r="D739">
        <f>J738</f>
        <v/>
      </c>
      <c r="E739">
        <f>IF(A739="",0,D739*C739/100/(DATE(YEAR(A739)+1,1,1)-DATE(YEAR(A739),1,1)))</f>
        <v/>
      </c>
      <c r="F739">
        <f>IF(A739="",0,SUMIF(Rechner!$A$12:$A$21,A739,Rechner!$B$12:$B$21))</f>
        <v/>
      </c>
      <c r="G739">
        <f>H738+E739</f>
        <v/>
      </c>
      <c r="H739">
        <f>G739-MIN(F739,G739)</f>
        <v/>
      </c>
      <c r="I739">
        <f>MIN(F739-MIN(F739,G739),D739)</f>
        <v/>
      </c>
      <c r="J739">
        <f>D739-I739</f>
        <v/>
      </c>
      <c r="K739">
        <f>F739-MIN(F739,G739)-I739</f>
        <v/>
      </c>
    </row>
    <row r="740">
      <c r="A740" s="21">
        <f>IF(Rechner!$E$4&lt;&gt;"ok","",IF(Rechner!$E$5+738&lt;=Rechner!$B$6,Rechner!$E$5+738,""))</f>
        <v/>
      </c>
      <c r="B740">
        <f>IF(A740="","",LOOKUP(A740,Basiszins!$A$5:$A$18,Basiszins!$B$5:$B$18))</f>
        <v/>
      </c>
      <c r="C740">
        <f>IF(A740="","",B740+Rechner!$E$7)</f>
        <v/>
      </c>
      <c r="D740">
        <f>J739</f>
        <v/>
      </c>
      <c r="E740">
        <f>IF(A740="",0,D740*C740/100/(DATE(YEAR(A740)+1,1,1)-DATE(YEAR(A740),1,1)))</f>
        <v/>
      </c>
      <c r="F740">
        <f>IF(A740="",0,SUMIF(Rechner!$A$12:$A$21,A740,Rechner!$B$12:$B$21))</f>
        <v/>
      </c>
      <c r="G740">
        <f>H739+E740</f>
        <v/>
      </c>
      <c r="H740">
        <f>G740-MIN(F740,G740)</f>
        <v/>
      </c>
      <c r="I740">
        <f>MIN(F740-MIN(F740,G740),D740)</f>
        <v/>
      </c>
      <c r="J740">
        <f>D740-I740</f>
        <v/>
      </c>
      <c r="K740">
        <f>F740-MIN(F740,G740)-I740</f>
        <v/>
      </c>
    </row>
    <row r="741">
      <c r="A741" s="21">
        <f>IF(Rechner!$E$4&lt;&gt;"ok","",IF(Rechner!$E$5+739&lt;=Rechner!$B$6,Rechner!$E$5+739,""))</f>
        <v/>
      </c>
      <c r="B741">
        <f>IF(A741="","",LOOKUP(A741,Basiszins!$A$5:$A$18,Basiszins!$B$5:$B$18))</f>
        <v/>
      </c>
      <c r="C741">
        <f>IF(A741="","",B741+Rechner!$E$7)</f>
        <v/>
      </c>
      <c r="D741">
        <f>J740</f>
        <v/>
      </c>
      <c r="E741">
        <f>IF(A741="",0,D741*C741/100/(DATE(YEAR(A741)+1,1,1)-DATE(YEAR(A741),1,1)))</f>
        <v/>
      </c>
      <c r="F741">
        <f>IF(A741="",0,SUMIF(Rechner!$A$12:$A$21,A741,Rechner!$B$12:$B$21))</f>
        <v/>
      </c>
      <c r="G741">
        <f>H740+E741</f>
        <v/>
      </c>
      <c r="H741">
        <f>G741-MIN(F741,G741)</f>
        <v/>
      </c>
      <c r="I741">
        <f>MIN(F741-MIN(F741,G741),D741)</f>
        <v/>
      </c>
      <c r="J741">
        <f>D741-I741</f>
        <v/>
      </c>
      <c r="K741">
        <f>F741-MIN(F741,G741)-I741</f>
        <v/>
      </c>
    </row>
    <row r="742">
      <c r="A742" s="21">
        <f>IF(Rechner!$E$4&lt;&gt;"ok","",IF(Rechner!$E$5+740&lt;=Rechner!$B$6,Rechner!$E$5+740,""))</f>
        <v/>
      </c>
      <c r="B742">
        <f>IF(A742="","",LOOKUP(A742,Basiszins!$A$5:$A$18,Basiszins!$B$5:$B$18))</f>
        <v/>
      </c>
      <c r="C742">
        <f>IF(A742="","",B742+Rechner!$E$7)</f>
        <v/>
      </c>
      <c r="D742">
        <f>J741</f>
        <v/>
      </c>
      <c r="E742">
        <f>IF(A742="",0,D742*C742/100/(DATE(YEAR(A742)+1,1,1)-DATE(YEAR(A742),1,1)))</f>
        <v/>
      </c>
      <c r="F742">
        <f>IF(A742="",0,SUMIF(Rechner!$A$12:$A$21,A742,Rechner!$B$12:$B$21))</f>
        <v/>
      </c>
      <c r="G742">
        <f>H741+E742</f>
        <v/>
      </c>
      <c r="H742">
        <f>G742-MIN(F742,G742)</f>
        <v/>
      </c>
      <c r="I742">
        <f>MIN(F742-MIN(F742,G742),D742)</f>
        <v/>
      </c>
      <c r="J742">
        <f>D742-I742</f>
        <v/>
      </c>
      <c r="K742">
        <f>F742-MIN(F742,G742)-I742</f>
        <v/>
      </c>
    </row>
    <row r="743">
      <c r="A743" s="21">
        <f>IF(Rechner!$E$4&lt;&gt;"ok","",IF(Rechner!$E$5+741&lt;=Rechner!$B$6,Rechner!$E$5+741,""))</f>
        <v/>
      </c>
      <c r="B743">
        <f>IF(A743="","",LOOKUP(A743,Basiszins!$A$5:$A$18,Basiszins!$B$5:$B$18))</f>
        <v/>
      </c>
      <c r="C743">
        <f>IF(A743="","",B743+Rechner!$E$7)</f>
        <v/>
      </c>
      <c r="D743">
        <f>J742</f>
        <v/>
      </c>
      <c r="E743">
        <f>IF(A743="",0,D743*C743/100/(DATE(YEAR(A743)+1,1,1)-DATE(YEAR(A743),1,1)))</f>
        <v/>
      </c>
      <c r="F743">
        <f>IF(A743="",0,SUMIF(Rechner!$A$12:$A$21,A743,Rechner!$B$12:$B$21))</f>
        <v/>
      </c>
      <c r="G743">
        <f>H742+E743</f>
        <v/>
      </c>
      <c r="H743">
        <f>G743-MIN(F743,G743)</f>
        <v/>
      </c>
      <c r="I743">
        <f>MIN(F743-MIN(F743,G743),D743)</f>
        <v/>
      </c>
      <c r="J743">
        <f>D743-I743</f>
        <v/>
      </c>
      <c r="K743">
        <f>F743-MIN(F743,G743)-I743</f>
        <v/>
      </c>
    </row>
    <row r="744">
      <c r="A744" s="21">
        <f>IF(Rechner!$E$4&lt;&gt;"ok","",IF(Rechner!$E$5+742&lt;=Rechner!$B$6,Rechner!$E$5+742,""))</f>
        <v/>
      </c>
      <c r="B744">
        <f>IF(A744="","",LOOKUP(A744,Basiszins!$A$5:$A$18,Basiszins!$B$5:$B$18))</f>
        <v/>
      </c>
      <c r="C744">
        <f>IF(A744="","",B744+Rechner!$E$7)</f>
        <v/>
      </c>
      <c r="D744">
        <f>J743</f>
        <v/>
      </c>
      <c r="E744">
        <f>IF(A744="",0,D744*C744/100/(DATE(YEAR(A744)+1,1,1)-DATE(YEAR(A744),1,1)))</f>
        <v/>
      </c>
      <c r="F744">
        <f>IF(A744="",0,SUMIF(Rechner!$A$12:$A$21,A744,Rechner!$B$12:$B$21))</f>
        <v/>
      </c>
      <c r="G744">
        <f>H743+E744</f>
        <v/>
      </c>
      <c r="H744">
        <f>G744-MIN(F744,G744)</f>
        <v/>
      </c>
      <c r="I744">
        <f>MIN(F744-MIN(F744,G744),D744)</f>
        <v/>
      </c>
      <c r="J744">
        <f>D744-I744</f>
        <v/>
      </c>
      <c r="K744">
        <f>F744-MIN(F744,G744)-I744</f>
        <v/>
      </c>
    </row>
    <row r="745">
      <c r="A745" s="21">
        <f>IF(Rechner!$E$4&lt;&gt;"ok","",IF(Rechner!$E$5+743&lt;=Rechner!$B$6,Rechner!$E$5+743,""))</f>
        <v/>
      </c>
      <c r="B745">
        <f>IF(A745="","",LOOKUP(A745,Basiszins!$A$5:$A$18,Basiszins!$B$5:$B$18))</f>
        <v/>
      </c>
      <c r="C745">
        <f>IF(A745="","",B745+Rechner!$E$7)</f>
        <v/>
      </c>
      <c r="D745">
        <f>J744</f>
        <v/>
      </c>
      <c r="E745">
        <f>IF(A745="",0,D745*C745/100/(DATE(YEAR(A745)+1,1,1)-DATE(YEAR(A745),1,1)))</f>
        <v/>
      </c>
      <c r="F745">
        <f>IF(A745="",0,SUMIF(Rechner!$A$12:$A$21,A745,Rechner!$B$12:$B$21))</f>
        <v/>
      </c>
      <c r="G745">
        <f>H744+E745</f>
        <v/>
      </c>
      <c r="H745">
        <f>G745-MIN(F745,G745)</f>
        <v/>
      </c>
      <c r="I745">
        <f>MIN(F745-MIN(F745,G745),D745)</f>
        <v/>
      </c>
      <c r="J745">
        <f>D745-I745</f>
        <v/>
      </c>
      <c r="K745">
        <f>F745-MIN(F745,G745)-I745</f>
        <v/>
      </c>
    </row>
    <row r="746">
      <c r="A746" s="21">
        <f>IF(Rechner!$E$4&lt;&gt;"ok","",IF(Rechner!$E$5+744&lt;=Rechner!$B$6,Rechner!$E$5+744,""))</f>
        <v/>
      </c>
      <c r="B746">
        <f>IF(A746="","",LOOKUP(A746,Basiszins!$A$5:$A$18,Basiszins!$B$5:$B$18))</f>
        <v/>
      </c>
      <c r="C746">
        <f>IF(A746="","",B746+Rechner!$E$7)</f>
        <v/>
      </c>
      <c r="D746">
        <f>J745</f>
        <v/>
      </c>
      <c r="E746">
        <f>IF(A746="",0,D746*C746/100/(DATE(YEAR(A746)+1,1,1)-DATE(YEAR(A746),1,1)))</f>
        <v/>
      </c>
      <c r="F746">
        <f>IF(A746="",0,SUMIF(Rechner!$A$12:$A$21,A746,Rechner!$B$12:$B$21))</f>
        <v/>
      </c>
      <c r="G746">
        <f>H745+E746</f>
        <v/>
      </c>
      <c r="H746">
        <f>G746-MIN(F746,G746)</f>
        <v/>
      </c>
      <c r="I746">
        <f>MIN(F746-MIN(F746,G746),D746)</f>
        <v/>
      </c>
      <c r="J746">
        <f>D746-I746</f>
        <v/>
      </c>
      <c r="K746">
        <f>F746-MIN(F746,G746)-I746</f>
        <v/>
      </c>
    </row>
    <row r="747">
      <c r="A747" s="21">
        <f>IF(Rechner!$E$4&lt;&gt;"ok","",IF(Rechner!$E$5+745&lt;=Rechner!$B$6,Rechner!$E$5+745,""))</f>
        <v/>
      </c>
      <c r="B747">
        <f>IF(A747="","",LOOKUP(A747,Basiszins!$A$5:$A$18,Basiszins!$B$5:$B$18))</f>
        <v/>
      </c>
      <c r="C747">
        <f>IF(A747="","",B747+Rechner!$E$7)</f>
        <v/>
      </c>
      <c r="D747">
        <f>J746</f>
        <v/>
      </c>
      <c r="E747">
        <f>IF(A747="",0,D747*C747/100/(DATE(YEAR(A747)+1,1,1)-DATE(YEAR(A747),1,1)))</f>
        <v/>
      </c>
      <c r="F747">
        <f>IF(A747="",0,SUMIF(Rechner!$A$12:$A$21,A747,Rechner!$B$12:$B$21))</f>
        <v/>
      </c>
      <c r="G747">
        <f>H746+E747</f>
        <v/>
      </c>
      <c r="H747">
        <f>G747-MIN(F747,G747)</f>
        <v/>
      </c>
      <c r="I747">
        <f>MIN(F747-MIN(F747,G747),D747)</f>
        <v/>
      </c>
      <c r="J747">
        <f>D747-I747</f>
        <v/>
      </c>
      <c r="K747">
        <f>F747-MIN(F747,G747)-I747</f>
        <v/>
      </c>
    </row>
    <row r="748">
      <c r="A748" s="21">
        <f>IF(Rechner!$E$4&lt;&gt;"ok","",IF(Rechner!$E$5+746&lt;=Rechner!$B$6,Rechner!$E$5+746,""))</f>
        <v/>
      </c>
      <c r="B748">
        <f>IF(A748="","",LOOKUP(A748,Basiszins!$A$5:$A$18,Basiszins!$B$5:$B$18))</f>
        <v/>
      </c>
      <c r="C748">
        <f>IF(A748="","",B748+Rechner!$E$7)</f>
        <v/>
      </c>
      <c r="D748">
        <f>J747</f>
        <v/>
      </c>
      <c r="E748">
        <f>IF(A748="",0,D748*C748/100/(DATE(YEAR(A748)+1,1,1)-DATE(YEAR(A748),1,1)))</f>
        <v/>
      </c>
      <c r="F748">
        <f>IF(A748="",0,SUMIF(Rechner!$A$12:$A$21,A748,Rechner!$B$12:$B$21))</f>
        <v/>
      </c>
      <c r="G748">
        <f>H747+E748</f>
        <v/>
      </c>
      <c r="H748">
        <f>G748-MIN(F748,G748)</f>
        <v/>
      </c>
      <c r="I748">
        <f>MIN(F748-MIN(F748,G748),D748)</f>
        <v/>
      </c>
      <c r="J748">
        <f>D748-I748</f>
        <v/>
      </c>
      <c r="K748">
        <f>F748-MIN(F748,G748)-I748</f>
        <v/>
      </c>
    </row>
    <row r="749">
      <c r="A749" s="21">
        <f>IF(Rechner!$E$4&lt;&gt;"ok","",IF(Rechner!$E$5+747&lt;=Rechner!$B$6,Rechner!$E$5+747,""))</f>
        <v/>
      </c>
      <c r="B749">
        <f>IF(A749="","",LOOKUP(A749,Basiszins!$A$5:$A$18,Basiszins!$B$5:$B$18))</f>
        <v/>
      </c>
      <c r="C749">
        <f>IF(A749="","",B749+Rechner!$E$7)</f>
        <v/>
      </c>
      <c r="D749">
        <f>J748</f>
        <v/>
      </c>
      <c r="E749">
        <f>IF(A749="",0,D749*C749/100/(DATE(YEAR(A749)+1,1,1)-DATE(YEAR(A749),1,1)))</f>
        <v/>
      </c>
      <c r="F749">
        <f>IF(A749="",0,SUMIF(Rechner!$A$12:$A$21,A749,Rechner!$B$12:$B$21))</f>
        <v/>
      </c>
      <c r="G749">
        <f>H748+E749</f>
        <v/>
      </c>
      <c r="H749">
        <f>G749-MIN(F749,G749)</f>
        <v/>
      </c>
      <c r="I749">
        <f>MIN(F749-MIN(F749,G749),D749)</f>
        <v/>
      </c>
      <c r="J749">
        <f>D749-I749</f>
        <v/>
      </c>
      <c r="K749">
        <f>F749-MIN(F749,G749)-I749</f>
        <v/>
      </c>
    </row>
    <row r="750">
      <c r="A750" s="21">
        <f>IF(Rechner!$E$4&lt;&gt;"ok","",IF(Rechner!$E$5+748&lt;=Rechner!$B$6,Rechner!$E$5+748,""))</f>
        <v/>
      </c>
      <c r="B750">
        <f>IF(A750="","",LOOKUP(A750,Basiszins!$A$5:$A$18,Basiszins!$B$5:$B$18))</f>
        <v/>
      </c>
      <c r="C750">
        <f>IF(A750="","",B750+Rechner!$E$7)</f>
        <v/>
      </c>
      <c r="D750">
        <f>J749</f>
        <v/>
      </c>
      <c r="E750">
        <f>IF(A750="",0,D750*C750/100/(DATE(YEAR(A750)+1,1,1)-DATE(YEAR(A750),1,1)))</f>
        <v/>
      </c>
      <c r="F750">
        <f>IF(A750="",0,SUMIF(Rechner!$A$12:$A$21,A750,Rechner!$B$12:$B$21))</f>
        <v/>
      </c>
      <c r="G750">
        <f>H749+E750</f>
        <v/>
      </c>
      <c r="H750">
        <f>G750-MIN(F750,G750)</f>
        <v/>
      </c>
      <c r="I750">
        <f>MIN(F750-MIN(F750,G750),D750)</f>
        <v/>
      </c>
      <c r="J750">
        <f>D750-I750</f>
        <v/>
      </c>
      <c r="K750">
        <f>F750-MIN(F750,G750)-I750</f>
        <v/>
      </c>
    </row>
    <row r="751">
      <c r="A751" s="21">
        <f>IF(Rechner!$E$4&lt;&gt;"ok","",IF(Rechner!$E$5+749&lt;=Rechner!$B$6,Rechner!$E$5+749,""))</f>
        <v/>
      </c>
      <c r="B751">
        <f>IF(A751="","",LOOKUP(A751,Basiszins!$A$5:$A$18,Basiszins!$B$5:$B$18))</f>
        <v/>
      </c>
      <c r="C751">
        <f>IF(A751="","",B751+Rechner!$E$7)</f>
        <v/>
      </c>
      <c r="D751">
        <f>J750</f>
        <v/>
      </c>
      <c r="E751">
        <f>IF(A751="",0,D751*C751/100/(DATE(YEAR(A751)+1,1,1)-DATE(YEAR(A751),1,1)))</f>
        <v/>
      </c>
      <c r="F751">
        <f>IF(A751="",0,SUMIF(Rechner!$A$12:$A$21,A751,Rechner!$B$12:$B$21))</f>
        <v/>
      </c>
      <c r="G751">
        <f>H750+E751</f>
        <v/>
      </c>
      <c r="H751">
        <f>G751-MIN(F751,G751)</f>
        <v/>
      </c>
      <c r="I751">
        <f>MIN(F751-MIN(F751,G751),D751)</f>
        <v/>
      </c>
      <c r="J751">
        <f>D751-I751</f>
        <v/>
      </c>
      <c r="K751">
        <f>F751-MIN(F751,G751)-I751</f>
        <v/>
      </c>
    </row>
    <row r="752">
      <c r="A752" s="21">
        <f>IF(Rechner!$E$4&lt;&gt;"ok","",IF(Rechner!$E$5+750&lt;=Rechner!$B$6,Rechner!$E$5+750,""))</f>
        <v/>
      </c>
      <c r="B752">
        <f>IF(A752="","",LOOKUP(A752,Basiszins!$A$5:$A$18,Basiszins!$B$5:$B$18))</f>
        <v/>
      </c>
      <c r="C752">
        <f>IF(A752="","",B752+Rechner!$E$7)</f>
        <v/>
      </c>
      <c r="D752">
        <f>J751</f>
        <v/>
      </c>
      <c r="E752">
        <f>IF(A752="",0,D752*C752/100/(DATE(YEAR(A752)+1,1,1)-DATE(YEAR(A752),1,1)))</f>
        <v/>
      </c>
      <c r="F752">
        <f>IF(A752="",0,SUMIF(Rechner!$A$12:$A$21,A752,Rechner!$B$12:$B$21))</f>
        <v/>
      </c>
      <c r="G752">
        <f>H751+E752</f>
        <v/>
      </c>
      <c r="H752">
        <f>G752-MIN(F752,G752)</f>
        <v/>
      </c>
      <c r="I752">
        <f>MIN(F752-MIN(F752,G752),D752)</f>
        <v/>
      </c>
      <c r="J752">
        <f>D752-I752</f>
        <v/>
      </c>
      <c r="K752">
        <f>F752-MIN(F752,G752)-I752</f>
        <v/>
      </c>
    </row>
    <row r="753">
      <c r="A753" s="21">
        <f>IF(Rechner!$E$4&lt;&gt;"ok","",IF(Rechner!$E$5+751&lt;=Rechner!$B$6,Rechner!$E$5+751,""))</f>
        <v/>
      </c>
      <c r="B753">
        <f>IF(A753="","",LOOKUP(A753,Basiszins!$A$5:$A$18,Basiszins!$B$5:$B$18))</f>
        <v/>
      </c>
      <c r="C753">
        <f>IF(A753="","",B753+Rechner!$E$7)</f>
        <v/>
      </c>
      <c r="D753">
        <f>J752</f>
        <v/>
      </c>
      <c r="E753">
        <f>IF(A753="",0,D753*C753/100/(DATE(YEAR(A753)+1,1,1)-DATE(YEAR(A753),1,1)))</f>
        <v/>
      </c>
      <c r="F753">
        <f>IF(A753="",0,SUMIF(Rechner!$A$12:$A$21,A753,Rechner!$B$12:$B$21))</f>
        <v/>
      </c>
      <c r="G753">
        <f>H752+E753</f>
        <v/>
      </c>
      <c r="H753">
        <f>G753-MIN(F753,G753)</f>
        <v/>
      </c>
      <c r="I753">
        <f>MIN(F753-MIN(F753,G753),D753)</f>
        <v/>
      </c>
      <c r="J753">
        <f>D753-I753</f>
        <v/>
      </c>
      <c r="K753">
        <f>F753-MIN(F753,G753)-I753</f>
        <v/>
      </c>
    </row>
    <row r="754">
      <c r="A754" s="21">
        <f>IF(Rechner!$E$4&lt;&gt;"ok","",IF(Rechner!$E$5+752&lt;=Rechner!$B$6,Rechner!$E$5+752,""))</f>
        <v/>
      </c>
      <c r="B754">
        <f>IF(A754="","",LOOKUP(A754,Basiszins!$A$5:$A$18,Basiszins!$B$5:$B$18))</f>
        <v/>
      </c>
      <c r="C754">
        <f>IF(A754="","",B754+Rechner!$E$7)</f>
        <v/>
      </c>
      <c r="D754">
        <f>J753</f>
        <v/>
      </c>
      <c r="E754">
        <f>IF(A754="",0,D754*C754/100/(DATE(YEAR(A754)+1,1,1)-DATE(YEAR(A754),1,1)))</f>
        <v/>
      </c>
      <c r="F754">
        <f>IF(A754="",0,SUMIF(Rechner!$A$12:$A$21,A754,Rechner!$B$12:$B$21))</f>
        <v/>
      </c>
      <c r="G754">
        <f>H753+E754</f>
        <v/>
      </c>
      <c r="H754">
        <f>G754-MIN(F754,G754)</f>
        <v/>
      </c>
      <c r="I754">
        <f>MIN(F754-MIN(F754,G754),D754)</f>
        <v/>
      </c>
      <c r="J754">
        <f>D754-I754</f>
        <v/>
      </c>
      <c r="K754">
        <f>F754-MIN(F754,G754)-I754</f>
        <v/>
      </c>
    </row>
    <row r="755">
      <c r="A755" s="21">
        <f>IF(Rechner!$E$4&lt;&gt;"ok","",IF(Rechner!$E$5+753&lt;=Rechner!$B$6,Rechner!$E$5+753,""))</f>
        <v/>
      </c>
      <c r="B755">
        <f>IF(A755="","",LOOKUP(A755,Basiszins!$A$5:$A$18,Basiszins!$B$5:$B$18))</f>
        <v/>
      </c>
      <c r="C755">
        <f>IF(A755="","",B755+Rechner!$E$7)</f>
        <v/>
      </c>
      <c r="D755">
        <f>J754</f>
        <v/>
      </c>
      <c r="E755">
        <f>IF(A755="",0,D755*C755/100/(DATE(YEAR(A755)+1,1,1)-DATE(YEAR(A755),1,1)))</f>
        <v/>
      </c>
      <c r="F755">
        <f>IF(A755="",0,SUMIF(Rechner!$A$12:$A$21,A755,Rechner!$B$12:$B$21))</f>
        <v/>
      </c>
      <c r="G755">
        <f>H754+E755</f>
        <v/>
      </c>
      <c r="H755">
        <f>G755-MIN(F755,G755)</f>
        <v/>
      </c>
      <c r="I755">
        <f>MIN(F755-MIN(F755,G755),D755)</f>
        <v/>
      </c>
      <c r="J755">
        <f>D755-I755</f>
        <v/>
      </c>
      <c r="K755">
        <f>F755-MIN(F755,G755)-I755</f>
        <v/>
      </c>
    </row>
    <row r="756">
      <c r="A756" s="21">
        <f>IF(Rechner!$E$4&lt;&gt;"ok","",IF(Rechner!$E$5+754&lt;=Rechner!$B$6,Rechner!$E$5+754,""))</f>
        <v/>
      </c>
      <c r="B756">
        <f>IF(A756="","",LOOKUP(A756,Basiszins!$A$5:$A$18,Basiszins!$B$5:$B$18))</f>
        <v/>
      </c>
      <c r="C756">
        <f>IF(A756="","",B756+Rechner!$E$7)</f>
        <v/>
      </c>
      <c r="D756">
        <f>J755</f>
        <v/>
      </c>
      <c r="E756">
        <f>IF(A756="",0,D756*C756/100/(DATE(YEAR(A756)+1,1,1)-DATE(YEAR(A756),1,1)))</f>
        <v/>
      </c>
      <c r="F756">
        <f>IF(A756="",0,SUMIF(Rechner!$A$12:$A$21,A756,Rechner!$B$12:$B$21))</f>
        <v/>
      </c>
      <c r="G756">
        <f>H755+E756</f>
        <v/>
      </c>
      <c r="H756">
        <f>G756-MIN(F756,G756)</f>
        <v/>
      </c>
      <c r="I756">
        <f>MIN(F756-MIN(F756,G756),D756)</f>
        <v/>
      </c>
      <c r="J756">
        <f>D756-I756</f>
        <v/>
      </c>
      <c r="K756">
        <f>F756-MIN(F756,G756)-I756</f>
        <v/>
      </c>
    </row>
    <row r="757">
      <c r="A757" s="21">
        <f>IF(Rechner!$E$4&lt;&gt;"ok","",IF(Rechner!$E$5+755&lt;=Rechner!$B$6,Rechner!$E$5+755,""))</f>
        <v/>
      </c>
      <c r="B757">
        <f>IF(A757="","",LOOKUP(A757,Basiszins!$A$5:$A$18,Basiszins!$B$5:$B$18))</f>
        <v/>
      </c>
      <c r="C757">
        <f>IF(A757="","",B757+Rechner!$E$7)</f>
        <v/>
      </c>
      <c r="D757">
        <f>J756</f>
        <v/>
      </c>
      <c r="E757">
        <f>IF(A757="",0,D757*C757/100/(DATE(YEAR(A757)+1,1,1)-DATE(YEAR(A757),1,1)))</f>
        <v/>
      </c>
      <c r="F757">
        <f>IF(A757="",0,SUMIF(Rechner!$A$12:$A$21,A757,Rechner!$B$12:$B$21))</f>
        <v/>
      </c>
      <c r="G757">
        <f>H756+E757</f>
        <v/>
      </c>
      <c r="H757">
        <f>G757-MIN(F757,G757)</f>
        <v/>
      </c>
      <c r="I757">
        <f>MIN(F757-MIN(F757,G757),D757)</f>
        <v/>
      </c>
      <c r="J757">
        <f>D757-I757</f>
        <v/>
      </c>
      <c r="K757">
        <f>F757-MIN(F757,G757)-I757</f>
        <v/>
      </c>
    </row>
    <row r="758">
      <c r="A758" s="21">
        <f>IF(Rechner!$E$4&lt;&gt;"ok","",IF(Rechner!$E$5+756&lt;=Rechner!$B$6,Rechner!$E$5+756,""))</f>
        <v/>
      </c>
      <c r="B758">
        <f>IF(A758="","",LOOKUP(A758,Basiszins!$A$5:$A$18,Basiszins!$B$5:$B$18))</f>
        <v/>
      </c>
      <c r="C758">
        <f>IF(A758="","",B758+Rechner!$E$7)</f>
        <v/>
      </c>
      <c r="D758">
        <f>J757</f>
        <v/>
      </c>
      <c r="E758">
        <f>IF(A758="",0,D758*C758/100/(DATE(YEAR(A758)+1,1,1)-DATE(YEAR(A758),1,1)))</f>
        <v/>
      </c>
      <c r="F758">
        <f>IF(A758="",0,SUMIF(Rechner!$A$12:$A$21,A758,Rechner!$B$12:$B$21))</f>
        <v/>
      </c>
      <c r="G758">
        <f>H757+E758</f>
        <v/>
      </c>
      <c r="H758">
        <f>G758-MIN(F758,G758)</f>
        <v/>
      </c>
      <c r="I758">
        <f>MIN(F758-MIN(F758,G758),D758)</f>
        <v/>
      </c>
      <c r="J758">
        <f>D758-I758</f>
        <v/>
      </c>
      <c r="K758">
        <f>F758-MIN(F758,G758)-I758</f>
        <v/>
      </c>
    </row>
    <row r="759">
      <c r="A759" s="21">
        <f>IF(Rechner!$E$4&lt;&gt;"ok","",IF(Rechner!$E$5+757&lt;=Rechner!$B$6,Rechner!$E$5+757,""))</f>
        <v/>
      </c>
      <c r="B759">
        <f>IF(A759="","",LOOKUP(A759,Basiszins!$A$5:$A$18,Basiszins!$B$5:$B$18))</f>
        <v/>
      </c>
      <c r="C759">
        <f>IF(A759="","",B759+Rechner!$E$7)</f>
        <v/>
      </c>
      <c r="D759">
        <f>J758</f>
        <v/>
      </c>
      <c r="E759">
        <f>IF(A759="",0,D759*C759/100/(DATE(YEAR(A759)+1,1,1)-DATE(YEAR(A759),1,1)))</f>
        <v/>
      </c>
      <c r="F759">
        <f>IF(A759="",0,SUMIF(Rechner!$A$12:$A$21,A759,Rechner!$B$12:$B$21))</f>
        <v/>
      </c>
      <c r="G759">
        <f>H758+E759</f>
        <v/>
      </c>
      <c r="H759">
        <f>G759-MIN(F759,G759)</f>
        <v/>
      </c>
      <c r="I759">
        <f>MIN(F759-MIN(F759,G759),D759)</f>
        <v/>
      </c>
      <c r="J759">
        <f>D759-I759</f>
        <v/>
      </c>
      <c r="K759">
        <f>F759-MIN(F759,G759)-I759</f>
        <v/>
      </c>
    </row>
    <row r="760">
      <c r="A760" s="21">
        <f>IF(Rechner!$E$4&lt;&gt;"ok","",IF(Rechner!$E$5+758&lt;=Rechner!$B$6,Rechner!$E$5+758,""))</f>
        <v/>
      </c>
      <c r="B760">
        <f>IF(A760="","",LOOKUP(A760,Basiszins!$A$5:$A$18,Basiszins!$B$5:$B$18))</f>
        <v/>
      </c>
      <c r="C760">
        <f>IF(A760="","",B760+Rechner!$E$7)</f>
        <v/>
      </c>
      <c r="D760">
        <f>J759</f>
        <v/>
      </c>
      <c r="E760">
        <f>IF(A760="",0,D760*C760/100/(DATE(YEAR(A760)+1,1,1)-DATE(YEAR(A760),1,1)))</f>
        <v/>
      </c>
      <c r="F760">
        <f>IF(A760="",0,SUMIF(Rechner!$A$12:$A$21,A760,Rechner!$B$12:$B$21))</f>
        <v/>
      </c>
      <c r="G760">
        <f>H759+E760</f>
        <v/>
      </c>
      <c r="H760">
        <f>G760-MIN(F760,G760)</f>
        <v/>
      </c>
      <c r="I760">
        <f>MIN(F760-MIN(F760,G760),D760)</f>
        <v/>
      </c>
      <c r="J760">
        <f>D760-I760</f>
        <v/>
      </c>
      <c r="K760">
        <f>F760-MIN(F760,G760)-I760</f>
        <v/>
      </c>
    </row>
    <row r="761">
      <c r="A761" s="21">
        <f>IF(Rechner!$E$4&lt;&gt;"ok","",IF(Rechner!$E$5+759&lt;=Rechner!$B$6,Rechner!$E$5+759,""))</f>
        <v/>
      </c>
      <c r="B761">
        <f>IF(A761="","",LOOKUP(A761,Basiszins!$A$5:$A$18,Basiszins!$B$5:$B$18))</f>
        <v/>
      </c>
      <c r="C761">
        <f>IF(A761="","",B761+Rechner!$E$7)</f>
        <v/>
      </c>
      <c r="D761">
        <f>J760</f>
        <v/>
      </c>
      <c r="E761">
        <f>IF(A761="",0,D761*C761/100/(DATE(YEAR(A761)+1,1,1)-DATE(YEAR(A761),1,1)))</f>
        <v/>
      </c>
      <c r="F761">
        <f>IF(A761="",0,SUMIF(Rechner!$A$12:$A$21,A761,Rechner!$B$12:$B$21))</f>
        <v/>
      </c>
      <c r="G761">
        <f>H760+E761</f>
        <v/>
      </c>
      <c r="H761">
        <f>G761-MIN(F761,G761)</f>
        <v/>
      </c>
      <c r="I761">
        <f>MIN(F761-MIN(F761,G761),D761)</f>
        <v/>
      </c>
      <c r="J761">
        <f>D761-I761</f>
        <v/>
      </c>
      <c r="K761">
        <f>F761-MIN(F761,G761)-I761</f>
        <v/>
      </c>
    </row>
    <row r="762">
      <c r="A762" s="21">
        <f>IF(Rechner!$E$4&lt;&gt;"ok","",IF(Rechner!$E$5+760&lt;=Rechner!$B$6,Rechner!$E$5+760,""))</f>
        <v/>
      </c>
      <c r="B762">
        <f>IF(A762="","",LOOKUP(A762,Basiszins!$A$5:$A$18,Basiszins!$B$5:$B$18))</f>
        <v/>
      </c>
      <c r="C762">
        <f>IF(A762="","",B762+Rechner!$E$7)</f>
        <v/>
      </c>
      <c r="D762">
        <f>J761</f>
        <v/>
      </c>
      <c r="E762">
        <f>IF(A762="",0,D762*C762/100/(DATE(YEAR(A762)+1,1,1)-DATE(YEAR(A762),1,1)))</f>
        <v/>
      </c>
      <c r="F762">
        <f>IF(A762="",0,SUMIF(Rechner!$A$12:$A$21,A762,Rechner!$B$12:$B$21))</f>
        <v/>
      </c>
      <c r="G762">
        <f>H761+E762</f>
        <v/>
      </c>
      <c r="H762">
        <f>G762-MIN(F762,G762)</f>
        <v/>
      </c>
      <c r="I762">
        <f>MIN(F762-MIN(F762,G762),D762)</f>
        <v/>
      </c>
      <c r="J762">
        <f>D762-I762</f>
        <v/>
      </c>
      <c r="K762">
        <f>F762-MIN(F762,G762)-I762</f>
        <v/>
      </c>
    </row>
    <row r="763">
      <c r="A763" s="21">
        <f>IF(Rechner!$E$4&lt;&gt;"ok","",IF(Rechner!$E$5+761&lt;=Rechner!$B$6,Rechner!$E$5+761,""))</f>
        <v/>
      </c>
      <c r="B763">
        <f>IF(A763="","",LOOKUP(A763,Basiszins!$A$5:$A$18,Basiszins!$B$5:$B$18))</f>
        <v/>
      </c>
      <c r="C763">
        <f>IF(A763="","",B763+Rechner!$E$7)</f>
        <v/>
      </c>
      <c r="D763">
        <f>J762</f>
        <v/>
      </c>
      <c r="E763">
        <f>IF(A763="",0,D763*C763/100/(DATE(YEAR(A763)+1,1,1)-DATE(YEAR(A763),1,1)))</f>
        <v/>
      </c>
      <c r="F763">
        <f>IF(A763="",0,SUMIF(Rechner!$A$12:$A$21,A763,Rechner!$B$12:$B$21))</f>
        <v/>
      </c>
      <c r="G763">
        <f>H762+E763</f>
        <v/>
      </c>
      <c r="H763">
        <f>G763-MIN(F763,G763)</f>
        <v/>
      </c>
      <c r="I763">
        <f>MIN(F763-MIN(F763,G763),D763)</f>
        <v/>
      </c>
      <c r="J763">
        <f>D763-I763</f>
        <v/>
      </c>
      <c r="K763">
        <f>F763-MIN(F763,G763)-I763</f>
        <v/>
      </c>
    </row>
    <row r="764">
      <c r="A764" s="21">
        <f>IF(Rechner!$E$4&lt;&gt;"ok","",IF(Rechner!$E$5+762&lt;=Rechner!$B$6,Rechner!$E$5+762,""))</f>
        <v/>
      </c>
      <c r="B764">
        <f>IF(A764="","",LOOKUP(A764,Basiszins!$A$5:$A$18,Basiszins!$B$5:$B$18))</f>
        <v/>
      </c>
      <c r="C764">
        <f>IF(A764="","",B764+Rechner!$E$7)</f>
        <v/>
      </c>
      <c r="D764">
        <f>J763</f>
        <v/>
      </c>
      <c r="E764">
        <f>IF(A764="",0,D764*C764/100/(DATE(YEAR(A764)+1,1,1)-DATE(YEAR(A764),1,1)))</f>
        <v/>
      </c>
      <c r="F764">
        <f>IF(A764="",0,SUMIF(Rechner!$A$12:$A$21,A764,Rechner!$B$12:$B$21))</f>
        <v/>
      </c>
      <c r="G764">
        <f>H763+E764</f>
        <v/>
      </c>
      <c r="H764">
        <f>G764-MIN(F764,G764)</f>
        <v/>
      </c>
      <c r="I764">
        <f>MIN(F764-MIN(F764,G764),D764)</f>
        <v/>
      </c>
      <c r="J764">
        <f>D764-I764</f>
        <v/>
      </c>
      <c r="K764">
        <f>F764-MIN(F764,G764)-I764</f>
        <v/>
      </c>
    </row>
    <row r="765">
      <c r="A765" s="21">
        <f>IF(Rechner!$E$4&lt;&gt;"ok","",IF(Rechner!$E$5+763&lt;=Rechner!$B$6,Rechner!$E$5+763,""))</f>
        <v/>
      </c>
      <c r="B765">
        <f>IF(A765="","",LOOKUP(A765,Basiszins!$A$5:$A$18,Basiszins!$B$5:$B$18))</f>
        <v/>
      </c>
      <c r="C765">
        <f>IF(A765="","",B765+Rechner!$E$7)</f>
        <v/>
      </c>
      <c r="D765">
        <f>J764</f>
        <v/>
      </c>
      <c r="E765">
        <f>IF(A765="",0,D765*C765/100/(DATE(YEAR(A765)+1,1,1)-DATE(YEAR(A765),1,1)))</f>
        <v/>
      </c>
      <c r="F765">
        <f>IF(A765="",0,SUMIF(Rechner!$A$12:$A$21,A765,Rechner!$B$12:$B$21))</f>
        <v/>
      </c>
      <c r="G765">
        <f>H764+E765</f>
        <v/>
      </c>
      <c r="H765">
        <f>G765-MIN(F765,G765)</f>
        <v/>
      </c>
      <c r="I765">
        <f>MIN(F765-MIN(F765,G765),D765)</f>
        <v/>
      </c>
      <c r="J765">
        <f>D765-I765</f>
        <v/>
      </c>
      <c r="K765">
        <f>F765-MIN(F765,G765)-I765</f>
        <v/>
      </c>
    </row>
    <row r="766">
      <c r="A766" s="21">
        <f>IF(Rechner!$E$4&lt;&gt;"ok","",IF(Rechner!$E$5+764&lt;=Rechner!$B$6,Rechner!$E$5+764,""))</f>
        <v/>
      </c>
      <c r="B766">
        <f>IF(A766="","",LOOKUP(A766,Basiszins!$A$5:$A$18,Basiszins!$B$5:$B$18))</f>
        <v/>
      </c>
      <c r="C766">
        <f>IF(A766="","",B766+Rechner!$E$7)</f>
        <v/>
      </c>
      <c r="D766">
        <f>J765</f>
        <v/>
      </c>
      <c r="E766">
        <f>IF(A766="",0,D766*C766/100/(DATE(YEAR(A766)+1,1,1)-DATE(YEAR(A766),1,1)))</f>
        <v/>
      </c>
      <c r="F766">
        <f>IF(A766="",0,SUMIF(Rechner!$A$12:$A$21,A766,Rechner!$B$12:$B$21))</f>
        <v/>
      </c>
      <c r="G766">
        <f>H765+E766</f>
        <v/>
      </c>
      <c r="H766">
        <f>G766-MIN(F766,G766)</f>
        <v/>
      </c>
      <c r="I766">
        <f>MIN(F766-MIN(F766,G766),D766)</f>
        <v/>
      </c>
      <c r="J766">
        <f>D766-I766</f>
        <v/>
      </c>
      <c r="K766">
        <f>F766-MIN(F766,G766)-I766</f>
        <v/>
      </c>
    </row>
    <row r="767">
      <c r="A767" s="21">
        <f>IF(Rechner!$E$4&lt;&gt;"ok","",IF(Rechner!$E$5+765&lt;=Rechner!$B$6,Rechner!$E$5+765,""))</f>
        <v/>
      </c>
      <c r="B767">
        <f>IF(A767="","",LOOKUP(A767,Basiszins!$A$5:$A$18,Basiszins!$B$5:$B$18))</f>
        <v/>
      </c>
      <c r="C767">
        <f>IF(A767="","",B767+Rechner!$E$7)</f>
        <v/>
      </c>
      <c r="D767">
        <f>J766</f>
        <v/>
      </c>
      <c r="E767">
        <f>IF(A767="",0,D767*C767/100/(DATE(YEAR(A767)+1,1,1)-DATE(YEAR(A767),1,1)))</f>
        <v/>
      </c>
      <c r="F767">
        <f>IF(A767="",0,SUMIF(Rechner!$A$12:$A$21,A767,Rechner!$B$12:$B$21))</f>
        <v/>
      </c>
      <c r="G767">
        <f>H766+E767</f>
        <v/>
      </c>
      <c r="H767">
        <f>G767-MIN(F767,G767)</f>
        <v/>
      </c>
      <c r="I767">
        <f>MIN(F767-MIN(F767,G767),D767)</f>
        <v/>
      </c>
      <c r="J767">
        <f>D767-I767</f>
        <v/>
      </c>
      <c r="K767">
        <f>F767-MIN(F767,G767)-I767</f>
        <v/>
      </c>
    </row>
    <row r="768">
      <c r="A768" s="21">
        <f>IF(Rechner!$E$4&lt;&gt;"ok","",IF(Rechner!$E$5+766&lt;=Rechner!$B$6,Rechner!$E$5+766,""))</f>
        <v/>
      </c>
      <c r="B768">
        <f>IF(A768="","",LOOKUP(A768,Basiszins!$A$5:$A$18,Basiszins!$B$5:$B$18))</f>
        <v/>
      </c>
      <c r="C768">
        <f>IF(A768="","",B768+Rechner!$E$7)</f>
        <v/>
      </c>
      <c r="D768">
        <f>J767</f>
        <v/>
      </c>
      <c r="E768">
        <f>IF(A768="",0,D768*C768/100/(DATE(YEAR(A768)+1,1,1)-DATE(YEAR(A768),1,1)))</f>
        <v/>
      </c>
      <c r="F768">
        <f>IF(A768="",0,SUMIF(Rechner!$A$12:$A$21,A768,Rechner!$B$12:$B$21))</f>
        <v/>
      </c>
      <c r="G768">
        <f>H767+E768</f>
        <v/>
      </c>
      <c r="H768">
        <f>G768-MIN(F768,G768)</f>
        <v/>
      </c>
      <c r="I768">
        <f>MIN(F768-MIN(F768,G768),D768)</f>
        <v/>
      </c>
      <c r="J768">
        <f>D768-I768</f>
        <v/>
      </c>
      <c r="K768">
        <f>F768-MIN(F768,G768)-I768</f>
        <v/>
      </c>
    </row>
    <row r="769">
      <c r="A769" s="21">
        <f>IF(Rechner!$E$4&lt;&gt;"ok","",IF(Rechner!$E$5+767&lt;=Rechner!$B$6,Rechner!$E$5+767,""))</f>
        <v/>
      </c>
      <c r="B769">
        <f>IF(A769="","",LOOKUP(A769,Basiszins!$A$5:$A$18,Basiszins!$B$5:$B$18))</f>
        <v/>
      </c>
      <c r="C769">
        <f>IF(A769="","",B769+Rechner!$E$7)</f>
        <v/>
      </c>
      <c r="D769">
        <f>J768</f>
        <v/>
      </c>
      <c r="E769">
        <f>IF(A769="",0,D769*C769/100/(DATE(YEAR(A769)+1,1,1)-DATE(YEAR(A769),1,1)))</f>
        <v/>
      </c>
      <c r="F769">
        <f>IF(A769="",0,SUMIF(Rechner!$A$12:$A$21,A769,Rechner!$B$12:$B$21))</f>
        <v/>
      </c>
      <c r="G769">
        <f>H768+E769</f>
        <v/>
      </c>
      <c r="H769">
        <f>G769-MIN(F769,G769)</f>
        <v/>
      </c>
      <c r="I769">
        <f>MIN(F769-MIN(F769,G769),D769)</f>
        <v/>
      </c>
      <c r="J769">
        <f>D769-I769</f>
        <v/>
      </c>
      <c r="K769">
        <f>F769-MIN(F769,G769)-I769</f>
        <v/>
      </c>
    </row>
    <row r="770">
      <c r="A770" s="21">
        <f>IF(Rechner!$E$4&lt;&gt;"ok","",IF(Rechner!$E$5+768&lt;=Rechner!$B$6,Rechner!$E$5+768,""))</f>
        <v/>
      </c>
      <c r="B770">
        <f>IF(A770="","",LOOKUP(A770,Basiszins!$A$5:$A$18,Basiszins!$B$5:$B$18))</f>
        <v/>
      </c>
      <c r="C770">
        <f>IF(A770="","",B770+Rechner!$E$7)</f>
        <v/>
      </c>
      <c r="D770">
        <f>J769</f>
        <v/>
      </c>
      <c r="E770">
        <f>IF(A770="",0,D770*C770/100/(DATE(YEAR(A770)+1,1,1)-DATE(YEAR(A770),1,1)))</f>
        <v/>
      </c>
      <c r="F770">
        <f>IF(A770="",0,SUMIF(Rechner!$A$12:$A$21,A770,Rechner!$B$12:$B$21))</f>
        <v/>
      </c>
      <c r="G770">
        <f>H769+E770</f>
        <v/>
      </c>
      <c r="H770">
        <f>G770-MIN(F770,G770)</f>
        <v/>
      </c>
      <c r="I770">
        <f>MIN(F770-MIN(F770,G770),D770)</f>
        <v/>
      </c>
      <c r="J770">
        <f>D770-I770</f>
        <v/>
      </c>
      <c r="K770">
        <f>F770-MIN(F770,G770)-I770</f>
        <v/>
      </c>
    </row>
    <row r="771">
      <c r="A771" s="21">
        <f>IF(Rechner!$E$4&lt;&gt;"ok","",IF(Rechner!$E$5+769&lt;=Rechner!$B$6,Rechner!$E$5+769,""))</f>
        <v/>
      </c>
      <c r="B771">
        <f>IF(A771="","",LOOKUP(A771,Basiszins!$A$5:$A$18,Basiszins!$B$5:$B$18))</f>
        <v/>
      </c>
      <c r="C771">
        <f>IF(A771="","",B771+Rechner!$E$7)</f>
        <v/>
      </c>
      <c r="D771">
        <f>J770</f>
        <v/>
      </c>
      <c r="E771">
        <f>IF(A771="",0,D771*C771/100/(DATE(YEAR(A771)+1,1,1)-DATE(YEAR(A771),1,1)))</f>
        <v/>
      </c>
      <c r="F771">
        <f>IF(A771="",0,SUMIF(Rechner!$A$12:$A$21,A771,Rechner!$B$12:$B$21))</f>
        <v/>
      </c>
      <c r="G771">
        <f>H770+E771</f>
        <v/>
      </c>
      <c r="H771">
        <f>G771-MIN(F771,G771)</f>
        <v/>
      </c>
      <c r="I771">
        <f>MIN(F771-MIN(F771,G771),D771)</f>
        <v/>
      </c>
      <c r="J771">
        <f>D771-I771</f>
        <v/>
      </c>
      <c r="K771">
        <f>F771-MIN(F771,G771)-I771</f>
        <v/>
      </c>
    </row>
    <row r="772">
      <c r="A772" s="21">
        <f>IF(Rechner!$E$4&lt;&gt;"ok","",IF(Rechner!$E$5+770&lt;=Rechner!$B$6,Rechner!$E$5+770,""))</f>
        <v/>
      </c>
      <c r="B772">
        <f>IF(A772="","",LOOKUP(A772,Basiszins!$A$5:$A$18,Basiszins!$B$5:$B$18))</f>
        <v/>
      </c>
      <c r="C772">
        <f>IF(A772="","",B772+Rechner!$E$7)</f>
        <v/>
      </c>
      <c r="D772">
        <f>J771</f>
        <v/>
      </c>
      <c r="E772">
        <f>IF(A772="",0,D772*C772/100/(DATE(YEAR(A772)+1,1,1)-DATE(YEAR(A772),1,1)))</f>
        <v/>
      </c>
      <c r="F772">
        <f>IF(A772="",0,SUMIF(Rechner!$A$12:$A$21,A772,Rechner!$B$12:$B$21))</f>
        <v/>
      </c>
      <c r="G772">
        <f>H771+E772</f>
        <v/>
      </c>
      <c r="H772">
        <f>G772-MIN(F772,G772)</f>
        <v/>
      </c>
      <c r="I772">
        <f>MIN(F772-MIN(F772,G772),D772)</f>
        <v/>
      </c>
      <c r="J772">
        <f>D772-I772</f>
        <v/>
      </c>
      <c r="K772">
        <f>F772-MIN(F772,G772)-I772</f>
        <v/>
      </c>
    </row>
    <row r="773">
      <c r="A773" s="21">
        <f>IF(Rechner!$E$4&lt;&gt;"ok","",IF(Rechner!$E$5+771&lt;=Rechner!$B$6,Rechner!$E$5+771,""))</f>
        <v/>
      </c>
      <c r="B773">
        <f>IF(A773="","",LOOKUP(A773,Basiszins!$A$5:$A$18,Basiszins!$B$5:$B$18))</f>
        <v/>
      </c>
      <c r="C773">
        <f>IF(A773="","",B773+Rechner!$E$7)</f>
        <v/>
      </c>
      <c r="D773">
        <f>J772</f>
        <v/>
      </c>
      <c r="E773">
        <f>IF(A773="",0,D773*C773/100/(DATE(YEAR(A773)+1,1,1)-DATE(YEAR(A773),1,1)))</f>
        <v/>
      </c>
      <c r="F773">
        <f>IF(A773="",0,SUMIF(Rechner!$A$12:$A$21,A773,Rechner!$B$12:$B$21))</f>
        <v/>
      </c>
      <c r="G773">
        <f>H772+E773</f>
        <v/>
      </c>
      <c r="H773">
        <f>G773-MIN(F773,G773)</f>
        <v/>
      </c>
      <c r="I773">
        <f>MIN(F773-MIN(F773,G773),D773)</f>
        <v/>
      </c>
      <c r="J773">
        <f>D773-I773</f>
        <v/>
      </c>
      <c r="K773">
        <f>F773-MIN(F773,G773)-I773</f>
        <v/>
      </c>
    </row>
    <row r="774">
      <c r="A774" s="21">
        <f>IF(Rechner!$E$4&lt;&gt;"ok","",IF(Rechner!$E$5+772&lt;=Rechner!$B$6,Rechner!$E$5+772,""))</f>
        <v/>
      </c>
      <c r="B774">
        <f>IF(A774="","",LOOKUP(A774,Basiszins!$A$5:$A$18,Basiszins!$B$5:$B$18))</f>
        <v/>
      </c>
      <c r="C774">
        <f>IF(A774="","",B774+Rechner!$E$7)</f>
        <v/>
      </c>
      <c r="D774">
        <f>J773</f>
        <v/>
      </c>
      <c r="E774">
        <f>IF(A774="",0,D774*C774/100/(DATE(YEAR(A774)+1,1,1)-DATE(YEAR(A774),1,1)))</f>
        <v/>
      </c>
      <c r="F774">
        <f>IF(A774="",0,SUMIF(Rechner!$A$12:$A$21,A774,Rechner!$B$12:$B$21))</f>
        <v/>
      </c>
      <c r="G774">
        <f>H773+E774</f>
        <v/>
      </c>
      <c r="H774">
        <f>G774-MIN(F774,G774)</f>
        <v/>
      </c>
      <c r="I774">
        <f>MIN(F774-MIN(F774,G774),D774)</f>
        <v/>
      </c>
      <c r="J774">
        <f>D774-I774</f>
        <v/>
      </c>
      <c r="K774">
        <f>F774-MIN(F774,G774)-I774</f>
        <v/>
      </c>
    </row>
    <row r="775">
      <c r="A775" s="21">
        <f>IF(Rechner!$E$4&lt;&gt;"ok","",IF(Rechner!$E$5+773&lt;=Rechner!$B$6,Rechner!$E$5+773,""))</f>
        <v/>
      </c>
      <c r="B775">
        <f>IF(A775="","",LOOKUP(A775,Basiszins!$A$5:$A$18,Basiszins!$B$5:$B$18))</f>
        <v/>
      </c>
      <c r="C775">
        <f>IF(A775="","",B775+Rechner!$E$7)</f>
        <v/>
      </c>
      <c r="D775">
        <f>J774</f>
        <v/>
      </c>
      <c r="E775">
        <f>IF(A775="",0,D775*C775/100/(DATE(YEAR(A775)+1,1,1)-DATE(YEAR(A775),1,1)))</f>
        <v/>
      </c>
      <c r="F775">
        <f>IF(A775="",0,SUMIF(Rechner!$A$12:$A$21,A775,Rechner!$B$12:$B$21))</f>
        <v/>
      </c>
      <c r="G775">
        <f>H774+E775</f>
        <v/>
      </c>
      <c r="H775">
        <f>G775-MIN(F775,G775)</f>
        <v/>
      </c>
      <c r="I775">
        <f>MIN(F775-MIN(F775,G775),D775)</f>
        <v/>
      </c>
      <c r="J775">
        <f>D775-I775</f>
        <v/>
      </c>
      <c r="K775">
        <f>F775-MIN(F775,G775)-I775</f>
        <v/>
      </c>
    </row>
    <row r="776">
      <c r="A776" s="21">
        <f>IF(Rechner!$E$4&lt;&gt;"ok","",IF(Rechner!$E$5+774&lt;=Rechner!$B$6,Rechner!$E$5+774,""))</f>
        <v/>
      </c>
      <c r="B776">
        <f>IF(A776="","",LOOKUP(A776,Basiszins!$A$5:$A$18,Basiszins!$B$5:$B$18))</f>
        <v/>
      </c>
      <c r="C776">
        <f>IF(A776="","",B776+Rechner!$E$7)</f>
        <v/>
      </c>
      <c r="D776">
        <f>J775</f>
        <v/>
      </c>
      <c r="E776">
        <f>IF(A776="",0,D776*C776/100/(DATE(YEAR(A776)+1,1,1)-DATE(YEAR(A776),1,1)))</f>
        <v/>
      </c>
      <c r="F776">
        <f>IF(A776="",0,SUMIF(Rechner!$A$12:$A$21,A776,Rechner!$B$12:$B$21))</f>
        <v/>
      </c>
      <c r="G776">
        <f>H775+E776</f>
        <v/>
      </c>
      <c r="H776">
        <f>G776-MIN(F776,G776)</f>
        <v/>
      </c>
      <c r="I776">
        <f>MIN(F776-MIN(F776,G776),D776)</f>
        <v/>
      </c>
      <c r="J776">
        <f>D776-I776</f>
        <v/>
      </c>
      <c r="K776">
        <f>F776-MIN(F776,G776)-I776</f>
        <v/>
      </c>
    </row>
    <row r="777">
      <c r="A777" s="21">
        <f>IF(Rechner!$E$4&lt;&gt;"ok","",IF(Rechner!$E$5+775&lt;=Rechner!$B$6,Rechner!$E$5+775,""))</f>
        <v/>
      </c>
      <c r="B777">
        <f>IF(A777="","",LOOKUP(A777,Basiszins!$A$5:$A$18,Basiszins!$B$5:$B$18))</f>
        <v/>
      </c>
      <c r="C777">
        <f>IF(A777="","",B777+Rechner!$E$7)</f>
        <v/>
      </c>
      <c r="D777">
        <f>J776</f>
        <v/>
      </c>
      <c r="E777">
        <f>IF(A777="",0,D777*C777/100/(DATE(YEAR(A777)+1,1,1)-DATE(YEAR(A777),1,1)))</f>
        <v/>
      </c>
      <c r="F777">
        <f>IF(A777="",0,SUMIF(Rechner!$A$12:$A$21,A777,Rechner!$B$12:$B$21))</f>
        <v/>
      </c>
      <c r="G777">
        <f>H776+E777</f>
        <v/>
      </c>
      <c r="H777">
        <f>G777-MIN(F777,G777)</f>
        <v/>
      </c>
      <c r="I777">
        <f>MIN(F777-MIN(F777,G777),D777)</f>
        <v/>
      </c>
      <c r="J777">
        <f>D777-I777</f>
        <v/>
      </c>
      <c r="K777">
        <f>F777-MIN(F777,G777)-I777</f>
        <v/>
      </c>
    </row>
    <row r="778">
      <c r="A778" s="21">
        <f>IF(Rechner!$E$4&lt;&gt;"ok","",IF(Rechner!$E$5+776&lt;=Rechner!$B$6,Rechner!$E$5+776,""))</f>
        <v/>
      </c>
      <c r="B778">
        <f>IF(A778="","",LOOKUP(A778,Basiszins!$A$5:$A$18,Basiszins!$B$5:$B$18))</f>
        <v/>
      </c>
      <c r="C778">
        <f>IF(A778="","",B778+Rechner!$E$7)</f>
        <v/>
      </c>
      <c r="D778">
        <f>J777</f>
        <v/>
      </c>
      <c r="E778">
        <f>IF(A778="",0,D778*C778/100/(DATE(YEAR(A778)+1,1,1)-DATE(YEAR(A778),1,1)))</f>
        <v/>
      </c>
      <c r="F778">
        <f>IF(A778="",0,SUMIF(Rechner!$A$12:$A$21,A778,Rechner!$B$12:$B$21))</f>
        <v/>
      </c>
      <c r="G778">
        <f>H777+E778</f>
        <v/>
      </c>
      <c r="H778">
        <f>G778-MIN(F778,G778)</f>
        <v/>
      </c>
      <c r="I778">
        <f>MIN(F778-MIN(F778,G778),D778)</f>
        <v/>
      </c>
      <c r="J778">
        <f>D778-I778</f>
        <v/>
      </c>
      <c r="K778">
        <f>F778-MIN(F778,G778)-I778</f>
        <v/>
      </c>
    </row>
    <row r="779">
      <c r="A779" s="21">
        <f>IF(Rechner!$E$4&lt;&gt;"ok","",IF(Rechner!$E$5+777&lt;=Rechner!$B$6,Rechner!$E$5+777,""))</f>
        <v/>
      </c>
      <c r="B779">
        <f>IF(A779="","",LOOKUP(A779,Basiszins!$A$5:$A$18,Basiszins!$B$5:$B$18))</f>
        <v/>
      </c>
      <c r="C779">
        <f>IF(A779="","",B779+Rechner!$E$7)</f>
        <v/>
      </c>
      <c r="D779">
        <f>J778</f>
        <v/>
      </c>
      <c r="E779">
        <f>IF(A779="",0,D779*C779/100/(DATE(YEAR(A779)+1,1,1)-DATE(YEAR(A779),1,1)))</f>
        <v/>
      </c>
      <c r="F779">
        <f>IF(A779="",0,SUMIF(Rechner!$A$12:$A$21,A779,Rechner!$B$12:$B$21))</f>
        <v/>
      </c>
      <c r="G779">
        <f>H778+E779</f>
        <v/>
      </c>
      <c r="H779">
        <f>G779-MIN(F779,G779)</f>
        <v/>
      </c>
      <c r="I779">
        <f>MIN(F779-MIN(F779,G779),D779)</f>
        <v/>
      </c>
      <c r="J779">
        <f>D779-I779</f>
        <v/>
      </c>
      <c r="K779">
        <f>F779-MIN(F779,G779)-I779</f>
        <v/>
      </c>
    </row>
    <row r="780">
      <c r="A780" s="21">
        <f>IF(Rechner!$E$4&lt;&gt;"ok","",IF(Rechner!$E$5+778&lt;=Rechner!$B$6,Rechner!$E$5+778,""))</f>
        <v/>
      </c>
      <c r="B780">
        <f>IF(A780="","",LOOKUP(A780,Basiszins!$A$5:$A$18,Basiszins!$B$5:$B$18))</f>
        <v/>
      </c>
      <c r="C780">
        <f>IF(A780="","",B780+Rechner!$E$7)</f>
        <v/>
      </c>
      <c r="D780">
        <f>J779</f>
        <v/>
      </c>
      <c r="E780">
        <f>IF(A780="",0,D780*C780/100/(DATE(YEAR(A780)+1,1,1)-DATE(YEAR(A780),1,1)))</f>
        <v/>
      </c>
      <c r="F780">
        <f>IF(A780="",0,SUMIF(Rechner!$A$12:$A$21,A780,Rechner!$B$12:$B$21))</f>
        <v/>
      </c>
      <c r="G780">
        <f>H779+E780</f>
        <v/>
      </c>
      <c r="H780">
        <f>G780-MIN(F780,G780)</f>
        <v/>
      </c>
      <c r="I780">
        <f>MIN(F780-MIN(F780,G780),D780)</f>
        <v/>
      </c>
      <c r="J780">
        <f>D780-I780</f>
        <v/>
      </c>
      <c r="K780">
        <f>F780-MIN(F780,G780)-I780</f>
        <v/>
      </c>
    </row>
    <row r="781">
      <c r="A781" s="21">
        <f>IF(Rechner!$E$4&lt;&gt;"ok","",IF(Rechner!$E$5+779&lt;=Rechner!$B$6,Rechner!$E$5+779,""))</f>
        <v/>
      </c>
      <c r="B781">
        <f>IF(A781="","",LOOKUP(A781,Basiszins!$A$5:$A$18,Basiszins!$B$5:$B$18))</f>
        <v/>
      </c>
      <c r="C781">
        <f>IF(A781="","",B781+Rechner!$E$7)</f>
        <v/>
      </c>
      <c r="D781">
        <f>J780</f>
        <v/>
      </c>
      <c r="E781">
        <f>IF(A781="",0,D781*C781/100/(DATE(YEAR(A781)+1,1,1)-DATE(YEAR(A781),1,1)))</f>
        <v/>
      </c>
      <c r="F781">
        <f>IF(A781="",0,SUMIF(Rechner!$A$12:$A$21,A781,Rechner!$B$12:$B$21))</f>
        <v/>
      </c>
      <c r="G781">
        <f>H780+E781</f>
        <v/>
      </c>
      <c r="H781">
        <f>G781-MIN(F781,G781)</f>
        <v/>
      </c>
      <c r="I781">
        <f>MIN(F781-MIN(F781,G781),D781)</f>
        <v/>
      </c>
      <c r="J781">
        <f>D781-I781</f>
        <v/>
      </c>
      <c r="K781">
        <f>F781-MIN(F781,G781)-I781</f>
        <v/>
      </c>
    </row>
    <row r="782">
      <c r="A782" s="21">
        <f>IF(Rechner!$E$4&lt;&gt;"ok","",IF(Rechner!$E$5+780&lt;=Rechner!$B$6,Rechner!$E$5+780,""))</f>
        <v/>
      </c>
      <c r="B782">
        <f>IF(A782="","",LOOKUP(A782,Basiszins!$A$5:$A$18,Basiszins!$B$5:$B$18))</f>
        <v/>
      </c>
      <c r="C782">
        <f>IF(A782="","",B782+Rechner!$E$7)</f>
        <v/>
      </c>
      <c r="D782">
        <f>J781</f>
        <v/>
      </c>
      <c r="E782">
        <f>IF(A782="",0,D782*C782/100/(DATE(YEAR(A782)+1,1,1)-DATE(YEAR(A782),1,1)))</f>
        <v/>
      </c>
      <c r="F782">
        <f>IF(A782="",0,SUMIF(Rechner!$A$12:$A$21,A782,Rechner!$B$12:$B$21))</f>
        <v/>
      </c>
      <c r="G782">
        <f>H781+E782</f>
        <v/>
      </c>
      <c r="H782">
        <f>G782-MIN(F782,G782)</f>
        <v/>
      </c>
      <c r="I782">
        <f>MIN(F782-MIN(F782,G782),D782)</f>
        <v/>
      </c>
      <c r="J782">
        <f>D782-I782</f>
        <v/>
      </c>
      <c r="K782">
        <f>F782-MIN(F782,G782)-I782</f>
        <v/>
      </c>
    </row>
    <row r="783">
      <c r="A783" s="21">
        <f>IF(Rechner!$E$4&lt;&gt;"ok","",IF(Rechner!$E$5+781&lt;=Rechner!$B$6,Rechner!$E$5+781,""))</f>
        <v/>
      </c>
      <c r="B783">
        <f>IF(A783="","",LOOKUP(A783,Basiszins!$A$5:$A$18,Basiszins!$B$5:$B$18))</f>
        <v/>
      </c>
      <c r="C783">
        <f>IF(A783="","",B783+Rechner!$E$7)</f>
        <v/>
      </c>
      <c r="D783">
        <f>J782</f>
        <v/>
      </c>
      <c r="E783">
        <f>IF(A783="",0,D783*C783/100/(DATE(YEAR(A783)+1,1,1)-DATE(YEAR(A783),1,1)))</f>
        <v/>
      </c>
      <c r="F783">
        <f>IF(A783="",0,SUMIF(Rechner!$A$12:$A$21,A783,Rechner!$B$12:$B$21))</f>
        <v/>
      </c>
      <c r="G783">
        <f>H782+E783</f>
        <v/>
      </c>
      <c r="H783">
        <f>G783-MIN(F783,G783)</f>
        <v/>
      </c>
      <c r="I783">
        <f>MIN(F783-MIN(F783,G783),D783)</f>
        <v/>
      </c>
      <c r="J783">
        <f>D783-I783</f>
        <v/>
      </c>
      <c r="K783">
        <f>F783-MIN(F783,G783)-I783</f>
        <v/>
      </c>
    </row>
    <row r="784">
      <c r="A784" s="21">
        <f>IF(Rechner!$E$4&lt;&gt;"ok","",IF(Rechner!$E$5+782&lt;=Rechner!$B$6,Rechner!$E$5+782,""))</f>
        <v/>
      </c>
      <c r="B784">
        <f>IF(A784="","",LOOKUP(A784,Basiszins!$A$5:$A$18,Basiszins!$B$5:$B$18))</f>
        <v/>
      </c>
      <c r="C784">
        <f>IF(A784="","",B784+Rechner!$E$7)</f>
        <v/>
      </c>
      <c r="D784">
        <f>J783</f>
        <v/>
      </c>
      <c r="E784">
        <f>IF(A784="",0,D784*C784/100/(DATE(YEAR(A784)+1,1,1)-DATE(YEAR(A784),1,1)))</f>
        <v/>
      </c>
      <c r="F784">
        <f>IF(A784="",0,SUMIF(Rechner!$A$12:$A$21,A784,Rechner!$B$12:$B$21))</f>
        <v/>
      </c>
      <c r="G784">
        <f>H783+E784</f>
        <v/>
      </c>
      <c r="H784">
        <f>G784-MIN(F784,G784)</f>
        <v/>
      </c>
      <c r="I784">
        <f>MIN(F784-MIN(F784,G784),D784)</f>
        <v/>
      </c>
      <c r="J784">
        <f>D784-I784</f>
        <v/>
      </c>
      <c r="K784">
        <f>F784-MIN(F784,G784)-I784</f>
        <v/>
      </c>
    </row>
    <row r="785">
      <c r="A785" s="21">
        <f>IF(Rechner!$E$4&lt;&gt;"ok","",IF(Rechner!$E$5+783&lt;=Rechner!$B$6,Rechner!$E$5+783,""))</f>
        <v/>
      </c>
      <c r="B785">
        <f>IF(A785="","",LOOKUP(A785,Basiszins!$A$5:$A$18,Basiszins!$B$5:$B$18))</f>
        <v/>
      </c>
      <c r="C785">
        <f>IF(A785="","",B785+Rechner!$E$7)</f>
        <v/>
      </c>
      <c r="D785">
        <f>J784</f>
        <v/>
      </c>
      <c r="E785">
        <f>IF(A785="",0,D785*C785/100/(DATE(YEAR(A785)+1,1,1)-DATE(YEAR(A785),1,1)))</f>
        <v/>
      </c>
      <c r="F785">
        <f>IF(A785="",0,SUMIF(Rechner!$A$12:$A$21,A785,Rechner!$B$12:$B$21))</f>
        <v/>
      </c>
      <c r="G785">
        <f>H784+E785</f>
        <v/>
      </c>
      <c r="H785">
        <f>G785-MIN(F785,G785)</f>
        <v/>
      </c>
      <c r="I785">
        <f>MIN(F785-MIN(F785,G785),D785)</f>
        <v/>
      </c>
      <c r="J785">
        <f>D785-I785</f>
        <v/>
      </c>
      <c r="K785">
        <f>F785-MIN(F785,G785)-I785</f>
        <v/>
      </c>
    </row>
    <row r="786">
      <c r="A786" s="21">
        <f>IF(Rechner!$E$4&lt;&gt;"ok","",IF(Rechner!$E$5+784&lt;=Rechner!$B$6,Rechner!$E$5+784,""))</f>
        <v/>
      </c>
      <c r="B786">
        <f>IF(A786="","",LOOKUP(A786,Basiszins!$A$5:$A$18,Basiszins!$B$5:$B$18))</f>
        <v/>
      </c>
      <c r="C786">
        <f>IF(A786="","",B786+Rechner!$E$7)</f>
        <v/>
      </c>
      <c r="D786">
        <f>J785</f>
        <v/>
      </c>
      <c r="E786">
        <f>IF(A786="",0,D786*C786/100/(DATE(YEAR(A786)+1,1,1)-DATE(YEAR(A786),1,1)))</f>
        <v/>
      </c>
      <c r="F786">
        <f>IF(A786="",0,SUMIF(Rechner!$A$12:$A$21,A786,Rechner!$B$12:$B$21))</f>
        <v/>
      </c>
      <c r="G786">
        <f>H785+E786</f>
        <v/>
      </c>
      <c r="H786">
        <f>G786-MIN(F786,G786)</f>
        <v/>
      </c>
      <c r="I786">
        <f>MIN(F786-MIN(F786,G786),D786)</f>
        <v/>
      </c>
      <c r="J786">
        <f>D786-I786</f>
        <v/>
      </c>
      <c r="K786">
        <f>F786-MIN(F786,G786)-I786</f>
        <v/>
      </c>
    </row>
    <row r="787">
      <c r="A787" s="21">
        <f>IF(Rechner!$E$4&lt;&gt;"ok","",IF(Rechner!$E$5+785&lt;=Rechner!$B$6,Rechner!$E$5+785,""))</f>
        <v/>
      </c>
      <c r="B787">
        <f>IF(A787="","",LOOKUP(A787,Basiszins!$A$5:$A$18,Basiszins!$B$5:$B$18))</f>
        <v/>
      </c>
      <c r="C787">
        <f>IF(A787="","",B787+Rechner!$E$7)</f>
        <v/>
      </c>
      <c r="D787">
        <f>J786</f>
        <v/>
      </c>
      <c r="E787">
        <f>IF(A787="",0,D787*C787/100/(DATE(YEAR(A787)+1,1,1)-DATE(YEAR(A787),1,1)))</f>
        <v/>
      </c>
      <c r="F787">
        <f>IF(A787="",0,SUMIF(Rechner!$A$12:$A$21,A787,Rechner!$B$12:$B$21))</f>
        <v/>
      </c>
      <c r="G787">
        <f>H786+E787</f>
        <v/>
      </c>
      <c r="H787">
        <f>G787-MIN(F787,G787)</f>
        <v/>
      </c>
      <c r="I787">
        <f>MIN(F787-MIN(F787,G787),D787)</f>
        <v/>
      </c>
      <c r="J787">
        <f>D787-I787</f>
        <v/>
      </c>
      <c r="K787">
        <f>F787-MIN(F787,G787)-I787</f>
        <v/>
      </c>
    </row>
    <row r="788">
      <c r="A788" s="21">
        <f>IF(Rechner!$E$4&lt;&gt;"ok","",IF(Rechner!$E$5+786&lt;=Rechner!$B$6,Rechner!$E$5+786,""))</f>
        <v/>
      </c>
      <c r="B788">
        <f>IF(A788="","",LOOKUP(A788,Basiszins!$A$5:$A$18,Basiszins!$B$5:$B$18))</f>
        <v/>
      </c>
      <c r="C788">
        <f>IF(A788="","",B788+Rechner!$E$7)</f>
        <v/>
      </c>
      <c r="D788">
        <f>J787</f>
        <v/>
      </c>
      <c r="E788">
        <f>IF(A788="",0,D788*C788/100/(DATE(YEAR(A788)+1,1,1)-DATE(YEAR(A788),1,1)))</f>
        <v/>
      </c>
      <c r="F788">
        <f>IF(A788="",0,SUMIF(Rechner!$A$12:$A$21,A788,Rechner!$B$12:$B$21))</f>
        <v/>
      </c>
      <c r="G788">
        <f>H787+E788</f>
        <v/>
      </c>
      <c r="H788">
        <f>G788-MIN(F788,G788)</f>
        <v/>
      </c>
      <c r="I788">
        <f>MIN(F788-MIN(F788,G788),D788)</f>
        <v/>
      </c>
      <c r="J788">
        <f>D788-I788</f>
        <v/>
      </c>
      <c r="K788">
        <f>F788-MIN(F788,G788)-I788</f>
        <v/>
      </c>
    </row>
    <row r="789">
      <c r="A789" s="21">
        <f>IF(Rechner!$E$4&lt;&gt;"ok","",IF(Rechner!$E$5+787&lt;=Rechner!$B$6,Rechner!$E$5+787,""))</f>
        <v/>
      </c>
      <c r="B789">
        <f>IF(A789="","",LOOKUP(A789,Basiszins!$A$5:$A$18,Basiszins!$B$5:$B$18))</f>
        <v/>
      </c>
      <c r="C789">
        <f>IF(A789="","",B789+Rechner!$E$7)</f>
        <v/>
      </c>
      <c r="D789">
        <f>J788</f>
        <v/>
      </c>
      <c r="E789">
        <f>IF(A789="",0,D789*C789/100/(DATE(YEAR(A789)+1,1,1)-DATE(YEAR(A789),1,1)))</f>
        <v/>
      </c>
      <c r="F789">
        <f>IF(A789="",0,SUMIF(Rechner!$A$12:$A$21,A789,Rechner!$B$12:$B$21))</f>
        <v/>
      </c>
      <c r="G789">
        <f>H788+E789</f>
        <v/>
      </c>
      <c r="H789">
        <f>G789-MIN(F789,G789)</f>
        <v/>
      </c>
      <c r="I789">
        <f>MIN(F789-MIN(F789,G789),D789)</f>
        <v/>
      </c>
      <c r="J789">
        <f>D789-I789</f>
        <v/>
      </c>
      <c r="K789">
        <f>F789-MIN(F789,G789)-I789</f>
        <v/>
      </c>
    </row>
    <row r="790">
      <c r="A790" s="21">
        <f>IF(Rechner!$E$4&lt;&gt;"ok","",IF(Rechner!$E$5+788&lt;=Rechner!$B$6,Rechner!$E$5+788,""))</f>
        <v/>
      </c>
      <c r="B790">
        <f>IF(A790="","",LOOKUP(A790,Basiszins!$A$5:$A$18,Basiszins!$B$5:$B$18))</f>
        <v/>
      </c>
      <c r="C790">
        <f>IF(A790="","",B790+Rechner!$E$7)</f>
        <v/>
      </c>
      <c r="D790">
        <f>J789</f>
        <v/>
      </c>
      <c r="E790">
        <f>IF(A790="",0,D790*C790/100/(DATE(YEAR(A790)+1,1,1)-DATE(YEAR(A790),1,1)))</f>
        <v/>
      </c>
      <c r="F790">
        <f>IF(A790="",0,SUMIF(Rechner!$A$12:$A$21,A790,Rechner!$B$12:$B$21))</f>
        <v/>
      </c>
      <c r="G790">
        <f>H789+E790</f>
        <v/>
      </c>
      <c r="H790">
        <f>G790-MIN(F790,G790)</f>
        <v/>
      </c>
      <c r="I790">
        <f>MIN(F790-MIN(F790,G790),D790)</f>
        <v/>
      </c>
      <c r="J790">
        <f>D790-I790</f>
        <v/>
      </c>
      <c r="K790">
        <f>F790-MIN(F790,G790)-I790</f>
        <v/>
      </c>
    </row>
    <row r="791">
      <c r="A791" s="21">
        <f>IF(Rechner!$E$4&lt;&gt;"ok","",IF(Rechner!$E$5+789&lt;=Rechner!$B$6,Rechner!$E$5+789,""))</f>
        <v/>
      </c>
      <c r="B791">
        <f>IF(A791="","",LOOKUP(A791,Basiszins!$A$5:$A$18,Basiszins!$B$5:$B$18))</f>
        <v/>
      </c>
      <c r="C791">
        <f>IF(A791="","",B791+Rechner!$E$7)</f>
        <v/>
      </c>
      <c r="D791">
        <f>J790</f>
        <v/>
      </c>
      <c r="E791">
        <f>IF(A791="",0,D791*C791/100/(DATE(YEAR(A791)+1,1,1)-DATE(YEAR(A791),1,1)))</f>
        <v/>
      </c>
      <c r="F791">
        <f>IF(A791="",0,SUMIF(Rechner!$A$12:$A$21,A791,Rechner!$B$12:$B$21))</f>
        <v/>
      </c>
      <c r="G791">
        <f>H790+E791</f>
        <v/>
      </c>
      <c r="H791">
        <f>G791-MIN(F791,G791)</f>
        <v/>
      </c>
      <c r="I791">
        <f>MIN(F791-MIN(F791,G791),D791)</f>
        <v/>
      </c>
      <c r="J791">
        <f>D791-I791</f>
        <v/>
      </c>
      <c r="K791">
        <f>F791-MIN(F791,G791)-I791</f>
        <v/>
      </c>
    </row>
    <row r="792">
      <c r="A792" s="21">
        <f>IF(Rechner!$E$4&lt;&gt;"ok","",IF(Rechner!$E$5+790&lt;=Rechner!$B$6,Rechner!$E$5+790,""))</f>
        <v/>
      </c>
      <c r="B792">
        <f>IF(A792="","",LOOKUP(A792,Basiszins!$A$5:$A$18,Basiszins!$B$5:$B$18))</f>
        <v/>
      </c>
      <c r="C792">
        <f>IF(A792="","",B792+Rechner!$E$7)</f>
        <v/>
      </c>
      <c r="D792">
        <f>J791</f>
        <v/>
      </c>
      <c r="E792">
        <f>IF(A792="",0,D792*C792/100/(DATE(YEAR(A792)+1,1,1)-DATE(YEAR(A792),1,1)))</f>
        <v/>
      </c>
      <c r="F792">
        <f>IF(A792="",0,SUMIF(Rechner!$A$12:$A$21,A792,Rechner!$B$12:$B$21))</f>
        <v/>
      </c>
      <c r="G792">
        <f>H791+E792</f>
        <v/>
      </c>
      <c r="H792">
        <f>G792-MIN(F792,G792)</f>
        <v/>
      </c>
      <c r="I792">
        <f>MIN(F792-MIN(F792,G792),D792)</f>
        <v/>
      </c>
      <c r="J792">
        <f>D792-I792</f>
        <v/>
      </c>
      <c r="K792">
        <f>F792-MIN(F792,G792)-I792</f>
        <v/>
      </c>
    </row>
    <row r="793">
      <c r="A793" s="21">
        <f>IF(Rechner!$E$4&lt;&gt;"ok","",IF(Rechner!$E$5+791&lt;=Rechner!$B$6,Rechner!$E$5+791,""))</f>
        <v/>
      </c>
      <c r="B793">
        <f>IF(A793="","",LOOKUP(A793,Basiszins!$A$5:$A$18,Basiszins!$B$5:$B$18))</f>
        <v/>
      </c>
      <c r="C793">
        <f>IF(A793="","",B793+Rechner!$E$7)</f>
        <v/>
      </c>
      <c r="D793">
        <f>J792</f>
        <v/>
      </c>
      <c r="E793">
        <f>IF(A793="",0,D793*C793/100/(DATE(YEAR(A793)+1,1,1)-DATE(YEAR(A793),1,1)))</f>
        <v/>
      </c>
      <c r="F793">
        <f>IF(A793="",0,SUMIF(Rechner!$A$12:$A$21,A793,Rechner!$B$12:$B$21))</f>
        <v/>
      </c>
      <c r="G793">
        <f>H792+E793</f>
        <v/>
      </c>
      <c r="H793">
        <f>G793-MIN(F793,G793)</f>
        <v/>
      </c>
      <c r="I793">
        <f>MIN(F793-MIN(F793,G793),D793)</f>
        <v/>
      </c>
      <c r="J793">
        <f>D793-I793</f>
        <v/>
      </c>
      <c r="K793">
        <f>F793-MIN(F793,G793)-I793</f>
        <v/>
      </c>
    </row>
    <row r="794">
      <c r="A794" s="21">
        <f>IF(Rechner!$E$4&lt;&gt;"ok","",IF(Rechner!$E$5+792&lt;=Rechner!$B$6,Rechner!$E$5+792,""))</f>
        <v/>
      </c>
      <c r="B794">
        <f>IF(A794="","",LOOKUP(A794,Basiszins!$A$5:$A$18,Basiszins!$B$5:$B$18))</f>
        <v/>
      </c>
      <c r="C794">
        <f>IF(A794="","",B794+Rechner!$E$7)</f>
        <v/>
      </c>
      <c r="D794">
        <f>J793</f>
        <v/>
      </c>
      <c r="E794">
        <f>IF(A794="",0,D794*C794/100/(DATE(YEAR(A794)+1,1,1)-DATE(YEAR(A794),1,1)))</f>
        <v/>
      </c>
      <c r="F794">
        <f>IF(A794="",0,SUMIF(Rechner!$A$12:$A$21,A794,Rechner!$B$12:$B$21))</f>
        <v/>
      </c>
      <c r="G794">
        <f>H793+E794</f>
        <v/>
      </c>
      <c r="H794">
        <f>G794-MIN(F794,G794)</f>
        <v/>
      </c>
      <c r="I794">
        <f>MIN(F794-MIN(F794,G794),D794)</f>
        <v/>
      </c>
      <c r="J794">
        <f>D794-I794</f>
        <v/>
      </c>
      <c r="K794">
        <f>F794-MIN(F794,G794)-I794</f>
        <v/>
      </c>
    </row>
    <row r="795">
      <c r="A795" s="21">
        <f>IF(Rechner!$E$4&lt;&gt;"ok","",IF(Rechner!$E$5+793&lt;=Rechner!$B$6,Rechner!$E$5+793,""))</f>
        <v/>
      </c>
      <c r="B795">
        <f>IF(A795="","",LOOKUP(A795,Basiszins!$A$5:$A$18,Basiszins!$B$5:$B$18))</f>
        <v/>
      </c>
      <c r="C795">
        <f>IF(A795="","",B795+Rechner!$E$7)</f>
        <v/>
      </c>
      <c r="D795">
        <f>J794</f>
        <v/>
      </c>
      <c r="E795">
        <f>IF(A795="",0,D795*C795/100/(DATE(YEAR(A795)+1,1,1)-DATE(YEAR(A795),1,1)))</f>
        <v/>
      </c>
      <c r="F795">
        <f>IF(A795="",0,SUMIF(Rechner!$A$12:$A$21,A795,Rechner!$B$12:$B$21))</f>
        <v/>
      </c>
      <c r="G795">
        <f>H794+E795</f>
        <v/>
      </c>
      <c r="H795">
        <f>G795-MIN(F795,G795)</f>
        <v/>
      </c>
      <c r="I795">
        <f>MIN(F795-MIN(F795,G795),D795)</f>
        <v/>
      </c>
      <c r="J795">
        <f>D795-I795</f>
        <v/>
      </c>
      <c r="K795">
        <f>F795-MIN(F795,G795)-I795</f>
        <v/>
      </c>
    </row>
    <row r="796">
      <c r="A796" s="21">
        <f>IF(Rechner!$E$4&lt;&gt;"ok","",IF(Rechner!$E$5+794&lt;=Rechner!$B$6,Rechner!$E$5+794,""))</f>
        <v/>
      </c>
      <c r="B796">
        <f>IF(A796="","",LOOKUP(A796,Basiszins!$A$5:$A$18,Basiszins!$B$5:$B$18))</f>
        <v/>
      </c>
      <c r="C796">
        <f>IF(A796="","",B796+Rechner!$E$7)</f>
        <v/>
      </c>
      <c r="D796">
        <f>J795</f>
        <v/>
      </c>
      <c r="E796">
        <f>IF(A796="",0,D796*C796/100/(DATE(YEAR(A796)+1,1,1)-DATE(YEAR(A796),1,1)))</f>
        <v/>
      </c>
      <c r="F796">
        <f>IF(A796="",0,SUMIF(Rechner!$A$12:$A$21,A796,Rechner!$B$12:$B$21))</f>
        <v/>
      </c>
      <c r="G796">
        <f>H795+E796</f>
        <v/>
      </c>
      <c r="H796">
        <f>G796-MIN(F796,G796)</f>
        <v/>
      </c>
      <c r="I796">
        <f>MIN(F796-MIN(F796,G796),D796)</f>
        <v/>
      </c>
      <c r="J796">
        <f>D796-I796</f>
        <v/>
      </c>
      <c r="K796">
        <f>F796-MIN(F796,G796)-I796</f>
        <v/>
      </c>
    </row>
    <row r="797">
      <c r="A797" s="21">
        <f>IF(Rechner!$E$4&lt;&gt;"ok","",IF(Rechner!$E$5+795&lt;=Rechner!$B$6,Rechner!$E$5+795,""))</f>
        <v/>
      </c>
      <c r="B797">
        <f>IF(A797="","",LOOKUP(A797,Basiszins!$A$5:$A$18,Basiszins!$B$5:$B$18))</f>
        <v/>
      </c>
      <c r="C797">
        <f>IF(A797="","",B797+Rechner!$E$7)</f>
        <v/>
      </c>
      <c r="D797">
        <f>J796</f>
        <v/>
      </c>
      <c r="E797">
        <f>IF(A797="",0,D797*C797/100/(DATE(YEAR(A797)+1,1,1)-DATE(YEAR(A797),1,1)))</f>
        <v/>
      </c>
      <c r="F797">
        <f>IF(A797="",0,SUMIF(Rechner!$A$12:$A$21,A797,Rechner!$B$12:$B$21))</f>
        <v/>
      </c>
      <c r="G797">
        <f>H796+E797</f>
        <v/>
      </c>
      <c r="H797">
        <f>G797-MIN(F797,G797)</f>
        <v/>
      </c>
      <c r="I797">
        <f>MIN(F797-MIN(F797,G797),D797)</f>
        <v/>
      </c>
      <c r="J797">
        <f>D797-I797</f>
        <v/>
      </c>
      <c r="K797">
        <f>F797-MIN(F797,G797)-I797</f>
        <v/>
      </c>
    </row>
    <row r="798">
      <c r="A798" s="21">
        <f>IF(Rechner!$E$4&lt;&gt;"ok","",IF(Rechner!$E$5+796&lt;=Rechner!$B$6,Rechner!$E$5+796,""))</f>
        <v/>
      </c>
      <c r="B798">
        <f>IF(A798="","",LOOKUP(A798,Basiszins!$A$5:$A$18,Basiszins!$B$5:$B$18))</f>
        <v/>
      </c>
      <c r="C798">
        <f>IF(A798="","",B798+Rechner!$E$7)</f>
        <v/>
      </c>
      <c r="D798">
        <f>J797</f>
        <v/>
      </c>
      <c r="E798">
        <f>IF(A798="",0,D798*C798/100/(DATE(YEAR(A798)+1,1,1)-DATE(YEAR(A798),1,1)))</f>
        <v/>
      </c>
      <c r="F798">
        <f>IF(A798="",0,SUMIF(Rechner!$A$12:$A$21,A798,Rechner!$B$12:$B$21))</f>
        <v/>
      </c>
      <c r="G798">
        <f>H797+E798</f>
        <v/>
      </c>
      <c r="H798">
        <f>G798-MIN(F798,G798)</f>
        <v/>
      </c>
      <c r="I798">
        <f>MIN(F798-MIN(F798,G798),D798)</f>
        <v/>
      </c>
      <c r="J798">
        <f>D798-I798</f>
        <v/>
      </c>
      <c r="K798">
        <f>F798-MIN(F798,G798)-I798</f>
        <v/>
      </c>
    </row>
    <row r="799">
      <c r="A799" s="21">
        <f>IF(Rechner!$E$4&lt;&gt;"ok","",IF(Rechner!$E$5+797&lt;=Rechner!$B$6,Rechner!$E$5+797,""))</f>
        <v/>
      </c>
      <c r="B799">
        <f>IF(A799="","",LOOKUP(A799,Basiszins!$A$5:$A$18,Basiszins!$B$5:$B$18))</f>
        <v/>
      </c>
      <c r="C799">
        <f>IF(A799="","",B799+Rechner!$E$7)</f>
        <v/>
      </c>
      <c r="D799">
        <f>J798</f>
        <v/>
      </c>
      <c r="E799">
        <f>IF(A799="",0,D799*C799/100/(DATE(YEAR(A799)+1,1,1)-DATE(YEAR(A799),1,1)))</f>
        <v/>
      </c>
      <c r="F799">
        <f>IF(A799="",0,SUMIF(Rechner!$A$12:$A$21,A799,Rechner!$B$12:$B$21))</f>
        <v/>
      </c>
      <c r="G799">
        <f>H798+E799</f>
        <v/>
      </c>
      <c r="H799">
        <f>G799-MIN(F799,G799)</f>
        <v/>
      </c>
      <c r="I799">
        <f>MIN(F799-MIN(F799,G799),D799)</f>
        <v/>
      </c>
      <c r="J799">
        <f>D799-I799</f>
        <v/>
      </c>
      <c r="K799">
        <f>F799-MIN(F799,G799)-I799</f>
        <v/>
      </c>
    </row>
    <row r="800">
      <c r="A800" s="21">
        <f>IF(Rechner!$E$4&lt;&gt;"ok","",IF(Rechner!$E$5+798&lt;=Rechner!$B$6,Rechner!$E$5+798,""))</f>
        <v/>
      </c>
      <c r="B800">
        <f>IF(A800="","",LOOKUP(A800,Basiszins!$A$5:$A$18,Basiszins!$B$5:$B$18))</f>
        <v/>
      </c>
      <c r="C800">
        <f>IF(A800="","",B800+Rechner!$E$7)</f>
        <v/>
      </c>
      <c r="D800">
        <f>J799</f>
        <v/>
      </c>
      <c r="E800">
        <f>IF(A800="",0,D800*C800/100/(DATE(YEAR(A800)+1,1,1)-DATE(YEAR(A800),1,1)))</f>
        <v/>
      </c>
      <c r="F800">
        <f>IF(A800="",0,SUMIF(Rechner!$A$12:$A$21,A800,Rechner!$B$12:$B$21))</f>
        <v/>
      </c>
      <c r="G800">
        <f>H799+E800</f>
        <v/>
      </c>
      <c r="H800">
        <f>G800-MIN(F800,G800)</f>
        <v/>
      </c>
      <c r="I800">
        <f>MIN(F800-MIN(F800,G800),D800)</f>
        <v/>
      </c>
      <c r="J800">
        <f>D800-I800</f>
        <v/>
      </c>
      <c r="K800">
        <f>F800-MIN(F800,G800)-I800</f>
        <v/>
      </c>
    </row>
    <row r="801">
      <c r="A801" s="21">
        <f>IF(Rechner!$E$4&lt;&gt;"ok","",IF(Rechner!$E$5+799&lt;=Rechner!$B$6,Rechner!$E$5+799,""))</f>
        <v/>
      </c>
      <c r="B801">
        <f>IF(A801="","",LOOKUP(A801,Basiszins!$A$5:$A$18,Basiszins!$B$5:$B$18))</f>
        <v/>
      </c>
      <c r="C801">
        <f>IF(A801="","",B801+Rechner!$E$7)</f>
        <v/>
      </c>
      <c r="D801">
        <f>J800</f>
        <v/>
      </c>
      <c r="E801">
        <f>IF(A801="",0,D801*C801/100/(DATE(YEAR(A801)+1,1,1)-DATE(YEAR(A801),1,1)))</f>
        <v/>
      </c>
      <c r="F801">
        <f>IF(A801="",0,SUMIF(Rechner!$A$12:$A$21,A801,Rechner!$B$12:$B$21))</f>
        <v/>
      </c>
      <c r="G801">
        <f>H800+E801</f>
        <v/>
      </c>
      <c r="H801">
        <f>G801-MIN(F801,G801)</f>
        <v/>
      </c>
      <c r="I801">
        <f>MIN(F801-MIN(F801,G801),D801)</f>
        <v/>
      </c>
      <c r="J801">
        <f>D801-I801</f>
        <v/>
      </c>
      <c r="K801">
        <f>F801-MIN(F801,G801)-I801</f>
        <v/>
      </c>
    </row>
    <row r="802">
      <c r="A802" s="21">
        <f>IF(Rechner!$E$4&lt;&gt;"ok","",IF(Rechner!$E$5+800&lt;=Rechner!$B$6,Rechner!$E$5+800,""))</f>
        <v/>
      </c>
      <c r="B802">
        <f>IF(A802="","",LOOKUP(A802,Basiszins!$A$5:$A$18,Basiszins!$B$5:$B$18))</f>
        <v/>
      </c>
      <c r="C802">
        <f>IF(A802="","",B802+Rechner!$E$7)</f>
        <v/>
      </c>
      <c r="D802">
        <f>J801</f>
        <v/>
      </c>
      <c r="E802">
        <f>IF(A802="",0,D802*C802/100/(DATE(YEAR(A802)+1,1,1)-DATE(YEAR(A802),1,1)))</f>
        <v/>
      </c>
      <c r="F802">
        <f>IF(A802="",0,SUMIF(Rechner!$A$12:$A$21,A802,Rechner!$B$12:$B$21))</f>
        <v/>
      </c>
      <c r="G802">
        <f>H801+E802</f>
        <v/>
      </c>
      <c r="H802">
        <f>G802-MIN(F802,G802)</f>
        <v/>
      </c>
      <c r="I802">
        <f>MIN(F802-MIN(F802,G802),D802)</f>
        <v/>
      </c>
      <c r="J802">
        <f>D802-I802</f>
        <v/>
      </c>
      <c r="K802">
        <f>F802-MIN(F802,G802)-I802</f>
        <v/>
      </c>
    </row>
    <row r="803">
      <c r="A803" s="21">
        <f>IF(Rechner!$E$4&lt;&gt;"ok","",IF(Rechner!$E$5+801&lt;=Rechner!$B$6,Rechner!$E$5+801,""))</f>
        <v/>
      </c>
      <c r="B803">
        <f>IF(A803="","",LOOKUP(A803,Basiszins!$A$5:$A$18,Basiszins!$B$5:$B$18))</f>
        <v/>
      </c>
      <c r="C803">
        <f>IF(A803="","",B803+Rechner!$E$7)</f>
        <v/>
      </c>
      <c r="D803">
        <f>J802</f>
        <v/>
      </c>
      <c r="E803">
        <f>IF(A803="",0,D803*C803/100/(DATE(YEAR(A803)+1,1,1)-DATE(YEAR(A803),1,1)))</f>
        <v/>
      </c>
      <c r="F803">
        <f>IF(A803="",0,SUMIF(Rechner!$A$12:$A$21,A803,Rechner!$B$12:$B$21))</f>
        <v/>
      </c>
      <c r="G803">
        <f>H802+E803</f>
        <v/>
      </c>
      <c r="H803">
        <f>G803-MIN(F803,G803)</f>
        <v/>
      </c>
      <c r="I803">
        <f>MIN(F803-MIN(F803,G803),D803)</f>
        <v/>
      </c>
      <c r="J803">
        <f>D803-I803</f>
        <v/>
      </c>
      <c r="K803">
        <f>F803-MIN(F803,G803)-I803</f>
        <v/>
      </c>
    </row>
    <row r="804">
      <c r="A804" s="21">
        <f>IF(Rechner!$E$4&lt;&gt;"ok","",IF(Rechner!$E$5+802&lt;=Rechner!$B$6,Rechner!$E$5+802,""))</f>
        <v/>
      </c>
      <c r="B804">
        <f>IF(A804="","",LOOKUP(A804,Basiszins!$A$5:$A$18,Basiszins!$B$5:$B$18))</f>
        <v/>
      </c>
      <c r="C804">
        <f>IF(A804="","",B804+Rechner!$E$7)</f>
        <v/>
      </c>
      <c r="D804">
        <f>J803</f>
        <v/>
      </c>
      <c r="E804">
        <f>IF(A804="",0,D804*C804/100/(DATE(YEAR(A804)+1,1,1)-DATE(YEAR(A804),1,1)))</f>
        <v/>
      </c>
      <c r="F804">
        <f>IF(A804="",0,SUMIF(Rechner!$A$12:$A$21,A804,Rechner!$B$12:$B$21))</f>
        <v/>
      </c>
      <c r="G804">
        <f>H803+E804</f>
        <v/>
      </c>
      <c r="H804">
        <f>G804-MIN(F804,G804)</f>
        <v/>
      </c>
      <c r="I804">
        <f>MIN(F804-MIN(F804,G804),D804)</f>
        <v/>
      </c>
      <c r="J804">
        <f>D804-I804</f>
        <v/>
      </c>
      <c r="K804">
        <f>F804-MIN(F804,G804)-I804</f>
        <v/>
      </c>
    </row>
    <row r="805">
      <c r="A805" s="21">
        <f>IF(Rechner!$E$4&lt;&gt;"ok","",IF(Rechner!$E$5+803&lt;=Rechner!$B$6,Rechner!$E$5+803,""))</f>
        <v/>
      </c>
      <c r="B805">
        <f>IF(A805="","",LOOKUP(A805,Basiszins!$A$5:$A$18,Basiszins!$B$5:$B$18))</f>
        <v/>
      </c>
      <c r="C805">
        <f>IF(A805="","",B805+Rechner!$E$7)</f>
        <v/>
      </c>
      <c r="D805">
        <f>J804</f>
        <v/>
      </c>
      <c r="E805">
        <f>IF(A805="",0,D805*C805/100/(DATE(YEAR(A805)+1,1,1)-DATE(YEAR(A805),1,1)))</f>
        <v/>
      </c>
      <c r="F805">
        <f>IF(A805="",0,SUMIF(Rechner!$A$12:$A$21,A805,Rechner!$B$12:$B$21))</f>
        <v/>
      </c>
      <c r="G805">
        <f>H804+E805</f>
        <v/>
      </c>
      <c r="H805">
        <f>G805-MIN(F805,G805)</f>
        <v/>
      </c>
      <c r="I805">
        <f>MIN(F805-MIN(F805,G805),D805)</f>
        <v/>
      </c>
      <c r="J805">
        <f>D805-I805</f>
        <v/>
      </c>
      <c r="K805">
        <f>F805-MIN(F805,G805)-I805</f>
        <v/>
      </c>
    </row>
    <row r="806">
      <c r="A806" s="21">
        <f>IF(Rechner!$E$4&lt;&gt;"ok","",IF(Rechner!$E$5+804&lt;=Rechner!$B$6,Rechner!$E$5+804,""))</f>
        <v/>
      </c>
      <c r="B806">
        <f>IF(A806="","",LOOKUP(A806,Basiszins!$A$5:$A$18,Basiszins!$B$5:$B$18))</f>
        <v/>
      </c>
      <c r="C806">
        <f>IF(A806="","",B806+Rechner!$E$7)</f>
        <v/>
      </c>
      <c r="D806">
        <f>J805</f>
        <v/>
      </c>
      <c r="E806">
        <f>IF(A806="",0,D806*C806/100/(DATE(YEAR(A806)+1,1,1)-DATE(YEAR(A806),1,1)))</f>
        <v/>
      </c>
      <c r="F806">
        <f>IF(A806="",0,SUMIF(Rechner!$A$12:$A$21,A806,Rechner!$B$12:$B$21))</f>
        <v/>
      </c>
      <c r="G806">
        <f>H805+E806</f>
        <v/>
      </c>
      <c r="H806">
        <f>G806-MIN(F806,G806)</f>
        <v/>
      </c>
      <c r="I806">
        <f>MIN(F806-MIN(F806,G806),D806)</f>
        <v/>
      </c>
      <c r="J806">
        <f>D806-I806</f>
        <v/>
      </c>
      <c r="K806">
        <f>F806-MIN(F806,G806)-I806</f>
        <v/>
      </c>
    </row>
    <row r="807">
      <c r="A807" s="21">
        <f>IF(Rechner!$E$4&lt;&gt;"ok","",IF(Rechner!$E$5+805&lt;=Rechner!$B$6,Rechner!$E$5+805,""))</f>
        <v/>
      </c>
      <c r="B807">
        <f>IF(A807="","",LOOKUP(A807,Basiszins!$A$5:$A$18,Basiszins!$B$5:$B$18))</f>
        <v/>
      </c>
      <c r="C807">
        <f>IF(A807="","",B807+Rechner!$E$7)</f>
        <v/>
      </c>
      <c r="D807">
        <f>J806</f>
        <v/>
      </c>
      <c r="E807">
        <f>IF(A807="",0,D807*C807/100/(DATE(YEAR(A807)+1,1,1)-DATE(YEAR(A807),1,1)))</f>
        <v/>
      </c>
      <c r="F807">
        <f>IF(A807="",0,SUMIF(Rechner!$A$12:$A$21,A807,Rechner!$B$12:$B$21))</f>
        <v/>
      </c>
      <c r="G807">
        <f>H806+E807</f>
        <v/>
      </c>
      <c r="H807">
        <f>G807-MIN(F807,G807)</f>
        <v/>
      </c>
      <c r="I807">
        <f>MIN(F807-MIN(F807,G807),D807)</f>
        <v/>
      </c>
      <c r="J807">
        <f>D807-I807</f>
        <v/>
      </c>
      <c r="K807">
        <f>F807-MIN(F807,G807)-I807</f>
        <v/>
      </c>
    </row>
    <row r="808">
      <c r="A808" s="21">
        <f>IF(Rechner!$E$4&lt;&gt;"ok","",IF(Rechner!$E$5+806&lt;=Rechner!$B$6,Rechner!$E$5+806,""))</f>
        <v/>
      </c>
      <c r="B808">
        <f>IF(A808="","",LOOKUP(A808,Basiszins!$A$5:$A$18,Basiszins!$B$5:$B$18))</f>
        <v/>
      </c>
      <c r="C808">
        <f>IF(A808="","",B808+Rechner!$E$7)</f>
        <v/>
      </c>
      <c r="D808">
        <f>J807</f>
        <v/>
      </c>
      <c r="E808">
        <f>IF(A808="",0,D808*C808/100/(DATE(YEAR(A808)+1,1,1)-DATE(YEAR(A808),1,1)))</f>
        <v/>
      </c>
      <c r="F808">
        <f>IF(A808="",0,SUMIF(Rechner!$A$12:$A$21,A808,Rechner!$B$12:$B$21))</f>
        <v/>
      </c>
      <c r="G808">
        <f>H807+E808</f>
        <v/>
      </c>
      <c r="H808">
        <f>G808-MIN(F808,G808)</f>
        <v/>
      </c>
      <c r="I808">
        <f>MIN(F808-MIN(F808,G808),D808)</f>
        <v/>
      </c>
      <c r="J808">
        <f>D808-I808</f>
        <v/>
      </c>
      <c r="K808">
        <f>F808-MIN(F808,G808)-I808</f>
        <v/>
      </c>
    </row>
    <row r="809">
      <c r="A809" s="21">
        <f>IF(Rechner!$E$4&lt;&gt;"ok","",IF(Rechner!$E$5+807&lt;=Rechner!$B$6,Rechner!$E$5+807,""))</f>
        <v/>
      </c>
      <c r="B809">
        <f>IF(A809="","",LOOKUP(A809,Basiszins!$A$5:$A$18,Basiszins!$B$5:$B$18))</f>
        <v/>
      </c>
      <c r="C809">
        <f>IF(A809="","",B809+Rechner!$E$7)</f>
        <v/>
      </c>
      <c r="D809">
        <f>J808</f>
        <v/>
      </c>
      <c r="E809">
        <f>IF(A809="",0,D809*C809/100/(DATE(YEAR(A809)+1,1,1)-DATE(YEAR(A809),1,1)))</f>
        <v/>
      </c>
      <c r="F809">
        <f>IF(A809="",0,SUMIF(Rechner!$A$12:$A$21,A809,Rechner!$B$12:$B$21))</f>
        <v/>
      </c>
      <c r="G809">
        <f>H808+E809</f>
        <v/>
      </c>
      <c r="H809">
        <f>G809-MIN(F809,G809)</f>
        <v/>
      </c>
      <c r="I809">
        <f>MIN(F809-MIN(F809,G809),D809)</f>
        <v/>
      </c>
      <c r="J809">
        <f>D809-I809</f>
        <v/>
      </c>
      <c r="K809">
        <f>F809-MIN(F809,G809)-I809</f>
        <v/>
      </c>
    </row>
    <row r="810">
      <c r="A810" s="21">
        <f>IF(Rechner!$E$4&lt;&gt;"ok","",IF(Rechner!$E$5+808&lt;=Rechner!$B$6,Rechner!$E$5+808,""))</f>
        <v/>
      </c>
      <c r="B810">
        <f>IF(A810="","",LOOKUP(A810,Basiszins!$A$5:$A$18,Basiszins!$B$5:$B$18))</f>
        <v/>
      </c>
      <c r="C810">
        <f>IF(A810="","",B810+Rechner!$E$7)</f>
        <v/>
      </c>
      <c r="D810">
        <f>J809</f>
        <v/>
      </c>
      <c r="E810">
        <f>IF(A810="",0,D810*C810/100/(DATE(YEAR(A810)+1,1,1)-DATE(YEAR(A810),1,1)))</f>
        <v/>
      </c>
      <c r="F810">
        <f>IF(A810="",0,SUMIF(Rechner!$A$12:$A$21,A810,Rechner!$B$12:$B$21))</f>
        <v/>
      </c>
      <c r="G810">
        <f>H809+E810</f>
        <v/>
      </c>
      <c r="H810">
        <f>G810-MIN(F810,G810)</f>
        <v/>
      </c>
      <c r="I810">
        <f>MIN(F810-MIN(F810,G810),D810)</f>
        <v/>
      </c>
      <c r="J810">
        <f>D810-I810</f>
        <v/>
      </c>
      <c r="K810">
        <f>F810-MIN(F810,G810)-I810</f>
        <v/>
      </c>
    </row>
    <row r="811">
      <c r="A811" s="21">
        <f>IF(Rechner!$E$4&lt;&gt;"ok","",IF(Rechner!$E$5+809&lt;=Rechner!$B$6,Rechner!$E$5+809,""))</f>
        <v/>
      </c>
      <c r="B811">
        <f>IF(A811="","",LOOKUP(A811,Basiszins!$A$5:$A$18,Basiszins!$B$5:$B$18))</f>
        <v/>
      </c>
      <c r="C811">
        <f>IF(A811="","",B811+Rechner!$E$7)</f>
        <v/>
      </c>
      <c r="D811">
        <f>J810</f>
        <v/>
      </c>
      <c r="E811">
        <f>IF(A811="",0,D811*C811/100/(DATE(YEAR(A811)+1,1,1)-DATE(YEAR(A811),1,1)))</f>
        <v/>
      </c>
      <c r="F811">
        <f>IF(A811="",0,SUMIF(Rechner!$A$12:$A$21,A811,Rechner!$B$12:$B$21))</f>
        <v/>
      </c>
      <c r="G811">
        <f>H810+E811</f>
        <v/>
      </c>
      <c r="H811">
        <f>G811-MIN(F811,G811)</f>
        <v/>
      </c>
      <c r="I811">
        <f>MIN(F811-MIN(F811,G811),D811)</f>
        <v/>
      </c>
      <c r="J811">
        <f>D811-I811</f>
        <v/>
      </c>
      <c r="K811">
        <f>F811-MIN(F811,G811)-I811</f>
        <v/>
      </c>
    </row>
    <row r="812">
      <c r="A812" s="21">
        <f>IF(Rechner!$E$4&lt;&gt;"ok","",IF(Rechner!$E$5+810&lt;=Rechner!$B$6,Rechner!$E$5+810,""))</f>
        <v/>
      </c>
      <c r="B812">
        <f>IF(A812="","",LOOKUP(A812,Basiszins!$A$5:$A$18,Basiszins!$B$5:$B$18))</f>
        <v/>
      </c>
      <c r="C812">
        <f>IF(A812="","",B812+Rechner!$E$7)</f>
        <v/>
      </c>
      <c r="D812">
        <f>J811</f>
        <v/>
      </c>
      <c r="E812">
        <f>IF(A812="",0,D812*C812/100/(DATE(YEAR(A812)+1,1,1)-DATE(YEAR(A812),1,1)))</f>
        <v/>
      </c>
      <c r="F812">
        <f>IF(A812="",0,SUMIF(Rechner!$A$12:$A$21,A812,Rechner!$B$12:$B$21))</f>
        <v/>
      </c>
      <c r="G812">
        <f>H811+E812</f>
        <v/>
      </c>
      <c r="H812">
        <f>G812-MIN(F812,G812)</f>
        <v/>
      </c>
      <c r="I812">
        <f>MIN(F812-MIN(F812,G812),D812)</f>
        <v/>
      </c>
      <c r="J812">
        <f>D812-I812</f>
        <v/>
      </c>
      <c r="K812">
        <f>F812-MIN(F812,G812)-I812</f>
        <v/>
      </c>
    </row>
    <row r="813">
      <c r="A813" s="21">
        <f>IF(Rechner!$E$4&lt;&gt;"ok","",IF(Rechner!$E$5+811&lt;=Rechner!$B$6,Rechner!$E$5+811,""))</f>
        <v/>
      </c>
      <c r="B813">
        <f>IF(A813="","",LOOKUP(A813,Basiszins!$A$5:$A$18,Basiszins!$B$5:$B$18))</f>
        <v/>
      </c>
      <c r="C813">
        <f>IF(A813="","",B813+Rechner!$E$7)</f>
        <v/>
      </c>
      <c r="D813">
        <f>J812</f>
        <v/>
      </c>
      <c r="E813">
        <f>IF(A813="",0,D813*C813/100/(DATE(YEAR(A813)+1,1,1)-DATE(YEAR(A813),1,1)))</f>
        <v/>
      </c>
      <c r="F813">
        <f>IF(A813="",0,SUMIF(Rechner!$A$12:$A$21,A813,Rechner!$B$12:$B$21))</f>
        <v/>
      </c>
      <c r="G813">
        <f>H812+E813</f>
        <v/>
      </c>
      <c r="H813">
        <f>G813-MIN(F813,G813)</f>
        <v/>
      </c>
      <c r="I813">
        <f>MIN(F813-MIN(F813,G813),D813)</f>
        <v/>
      </c>
      <c r="J813">
        <f>D813-I813</f>
        <v/>
      </c>
      <c r="K813">
        <f>F813-MIN(F813,G813)-I813</f>
        <v/>
      </c>
    </row>
    <row r="814">
      <c r="A814" s="21">
        <f>IF(Rechner!$E$4&lt;&gt;"ok","",IF(Rechner!$E$5+812&lt;=Rechner!$B$6,Rechner!$E$5+812,""))</f>
        <v/>
      </c>
      <c r="B814">
        <f>IF(A814="","",LOOKUP(A814,Basiszins!$A$5:$A$18,Basiszins!$B$5:$B$18))</f>
        <v/>
      </c>
      <c r="C814">
        <f>IF(A814="","",B814+Rechner!$E$7)</f>
        <v/>
      </c>
      <c r="D814">
        <f>J813</f>
        <v/>
      </c>
      <c r="E814">
        <f>IF(A814="",0,D814*C814/100/(DATE(YEAR(A814)+1,1,1)-DATE(YEAR(A814),1,1)))</f>
        <v/>
      </c>
      <c r="F814">
        <f>IF(A814="",0,SUMIF(Rechner!$A$12:$A$21,A814,Rechner!$B$12:$B$21))</f>
        <v/>
      </c>
      <c r="G814">
        <f>H813+E814</f>
        <v/>
      </c>
      <c r="H814">
        <f>G814-MIN(F814,G814)</f>
        <v/>
      </c>
      <c r="I814">
        <f>MIN(F814-MIN(F814,G814),D814)</f>
        <v/>
      </c>
      <c r="J814">
        <f>D814-I814</f>
        <v/>
      </c>
      <c r="K814">
        <f>F814-MIN(F814,G814)-I814</f>
        <v/>
      </c>
    </row>
    <row r="815">
      <c r="A815" s="21">
        <f>IF(Rechner!$E$4&lt;&gt;"ok","",IF(Rechner!$E$5+813&lt;=Rechner!$B$6,Rechner!$E$5+813,""))</f>
        <v/>
      </c>
      <c r="B815">
        <f>IF(A815="","",LOOKUP(A815,Basiszins!$A$5:$A$18,Basiszins!$B$5:$B$18))</f>
        <v/>
      </c>
      <c r="C815">
        <f>IF(A815="","",B815+Rechner!$E$7)</f>
        <v/>
      </c>
      <c r="D815">
        <f>J814</f>
        <v/>
      </c>
      <c r="E815">
        <f>IF(A815="",0,D815*C815/100/(DATE(YEAR(A815)+1,1,1)-DATE(YEAR(A815),1,1)))</f>
        <v/>
      </c>
      <c r="F815">
        <f>IF(A815="",0,SUMIF(Rechner!$A$12:$A$21,A815,Rechner!$B$12:$B$21))</f>
        <v/>
      </c>
      <c r="G815">
        <f>H814+E815</f>
        <v/>
      </c>
      <c r="H815">
        <f>G815-MIN(F815,G815)</f>
        <v/>
      </c>
      <c r="I815">
        <f>MIN(F815-MIN(F815,G815),D815)</f>
        <v/>
      </c>
      <c r="J815">
        <f>D815-I815</f>
        <v/>
      </c>
      <c r="K815">
        <f>F815-MIN(F815,G815)-I815</f>
        <v/>
      </c>
    </row>
    <row r="816">
      <c r="A816" s="21">
        <f>IF(Rechner!$E$4&lt;&gt;"ok","",IF(Rechner!$E$5+814&lt;=Rechner!$B$6,Rechner!$E$5+814,""))</f>
        <v/>
      </c>
      <c r="B816">
        <f>IF(A816="","",LOOKUP(A816,Basiszins!$A$5:$A$18,Basiszins!$B$5:$B$18))</f>
        <v/>
      </c>
      <c r="C816">
        <f>IF(A816="","",B816+Rechner!$E$7)</f>
        <v/>
      </c>
      <c r="D816">
        <f>J815</f>
        <v/>
      </c>
      <c r="E816">
        <f>IF(A816="",0,D816*C816/100/(DATE(YEAR(A816)+1,1,1)-DATE(YEAR(A816),1,1)))</f>
        <v/>
      </c>
      <c r="F816">
        <f>IF(A816="",0,SUMIF(Rechner!$A$12:$A$21,A816,Rechner!$B$12:$B$21))</f>
        <v/>
      </c>
      <c r="G816">
        <f>H815+E816</f>
        <v/>
      </c>
      <c r="H816">
        <f>G816-MIN(F816,G816)</f>
        <v/>
      </c>
      <c r="I816">
        <f>MIN(F816-MIN(F816,G816),D816)</f>
        <v/>
      </c>
      <c r="J816">
        <f>D816-I816</f>
        <v/>
      </c>
      <c r="K816">
        <f>F816-MIN(F816,G816)-I816</f>
        <v/>
      </c>
    </row>
    <row r="817">
      <c r="A817" s="21">
        <f>IF(Rechner!$E$4&lt;&gt;"ok","",IF(Rechner!$E$5+815&lt;=Rechner!$B$6,Rechner!$E$5+815,""))</f>
        <v/>
      </c>
      <c r="B817">
        <f>IF(A817="","",LOOKUP(A817,Basiszins!$A$5:$A$18,Basiszins!$B$5:$B$18))</f>
        <v/>
      </c>
      <c r="C817">
        <f>IF(A817="","",B817+Rechner!$E$7)</f>
        <v/>
      </c>
      <c r="D817">
        <f>J816</f>
        <v/>
      </c>
      <c r="E817">
        <f>IF(A817="",0,D817*C817/100/(DATE(YEAR(A817)+1,1,1)-DATE(YEAR(A817),1,1)))</f>
        <v/>
      </c>
      <c r="F817">
        <f>IF(A817="",0,SUMIF(Rechner!$A$12:$A$21,A817,Rechner!$B$12:$B$21))</f>
        <v/>
      </c>
      <c r="G817">
        <f>H816+E817</f>
        <v/>
      </c>
      <c r="H817">
        <f>G817-MIN(F817,G817)</f>
        <v/>
      </c>
      <c r="I817">
        <f>MIN(F817-MIN(F817,G817),D817)</f>
        <v/>
      </c>
      <c r="J817">
        <f>D817-I817</f>
        <v/>
      </c>
      <c r="K817">
        <f>F817-MIN(F817,G817)-I817</f>
        <v/>
      </c>
    </row>
    <row r="818">
      <c r="A818" s="21">
        <f>IF(Rechner!$E$4&lt;&gt;"ok","",IF(Rechner!$E$5+816&lt;=Rechner!$B$6,Rechner!$E$5+816,""))</f>
        <v/>
      </c>
      <c r="B818">
        <f>IF(A818="","",LOOKUP(A818,Basiszins!$A$5:$A$18,Basiszins!$B$5:$B$18))</f>
        <v/>
      </c>
      <c r="C818">
        <f>IF(A818="","",B818+Rechner!$E$7)</f>
        <v/>
      </c>
      <c r="D818">
        <f>J817</f>
        <v/>
      </c>
      <c r="E818">
        <f>IF(A818="",0,D818*C818/100/(DATE(YEAR(A818)+1,1,1)-DATE(YEAR(A818),1,1)))</f>
        <v/>
      </c>
      <c r="F818">
        <f>IF(A818="",0,SUMIF(Rechner!$A$12:$A$21,A818,Rechner!$B$12:$B$21))</f>
        <v/>
      </c>
      <c r="G818">
        <f>H817+E818</f>
        <v/>
      </c>
      <c r="H818">
        <f>G818-MIN(F818,G818)</f>
        <v/>
      </c>
      <c r="I818">
        <f>MIN(F818-MIN(F818,G818),D818)</f>
        <v/>
      </c>
      <c r="J818">
        <f>D818-I818</f>
        <v/>
      </c>
      <c r="K818">
        <f>F818-MIN(F818,G818)-I818</f>
        <v/>
      </c>
    </row>
    <row r="819">
      <c r="A819" s="21">
        <f>IF(Rechner!$E$4&lt;&gt;"ok","",IF(Rechner!$E$5+817&lt;=Rechner!$B$6,Rechner!$E$5+817,""))</f>
        <v/>
      </c>
      <c r="B819">
        <f>IF(A819="","",LOOKUP(A819,Basiszins!$A$5:$A$18,Basiszins!$B$5:$B$18))</f>
        <v/>
      </c>
      <c r="C819">
        <f>IF(A819="","",B819+Rechner!$E$7)</f>
        <v/>
      </c>
      <c r="D819">
        <f>J818</f>
        <v/>
      </c>
      <c r="E819">
        <f>IF(A819="",0,D819*C819/100/(DATE(YEAR(A819)+1,1,1)-DATE(YEAR(A819),1,1)))</f>
        <v/>
      </c>
      <c r="F819">
        <f>IF(A819="",0,SUMIF(Rechner!$A$12:$A$21,A819,Rechner!$B$12:$B$21))</f>
        <v/>
      </c>
      <c r="G819">
        <f>H818+E819</f>
        <v/>
      </c>
      <c r="H819">
        <f>G819-MIN(F819,G819)</f>
        <v/>
      </c>
      <c r="I819">
        <f>MIN(F819-MIN(F819,G819),D819)</f>
        <v/>
      </c>
      <c r="J819">
        <f>D819-I819</f>
        <v/>
      </c>
      <c r="K819">
        <f>F819-MIN(F819,G819)-I819</f>
        <v/>
      </c>
    </row>
    <row r="820">
      <c r="A820" s="21">
        <f>IF(Rechner!$E$4&lt;&gt;"ok","",IF(Rechner!$E$5+818&lt;=Rechner!$B$6,Rechner!$E$5+818,""))</f>
        <v/>
      </c>
      <c r="B820">
        <f>IF(A820="","",LOOKUP(A820,Basiszins!$A$5:$A$18,Basiszins!$B$5:$B$18))</f>
        <v/>
      </c>
      <c r="C820">
        <f>IF(A820="","",B820+Rechner!$E$7)</f>
        <v/>
      </c>
      <c r="D820">
        <f>J819</f>
        <v/>
      </c>
      <c r="E820">
        <f>IF(A820="",0,D820*C820/100/(DATE(YEAR(A820)+1,1,1)-DATE(YEAR(A820),1,1)))</f>
        <v/>
      </c>
      <c r="F820">
        <f>IF(A820="",0,SUMIF(Rechner!$A$12:$A$21,A820,Rechner!$B$12:$B$21))</f>
        <v/>
      </c>
      <c r="G820">
        <f>H819+E820</f>
        <v/>
      </c>
      <c r="H820">
        <f>G820-MIN(F820,G820)</f>
        <v/>
      </c>
      <c r="I820">
        <f>MIN(F820-MIN(F820,G820),D820)</f>
        <v/>
      </c>
      <c r="J820">
        <f>D820-I820</f>
        <v/>
      </c>
      <c r="K820">
        <f>F820-MIN(F820,G820)-I820</f>
        <v/>
      </c>
    </row>
    <row r="821">
      <c r="A821" s="21">
        <f>IF(Rechner!$E$4&lt;&gt;"ok","",IF(Rechner!$E$5+819&lt;=Rechner!$B$6,Rechner!$E$5+819,""))</f>
        <v/>
      </c>
      <c r="B821">
        <f>IF(A821="","",LOOKUP(A821,Basiszins!$A$5:$A$18,Basiszins!$B$5:$B$18))</f>
        <v/>
      </c>
      <c r="C821">
        <f>IF(A821="","",B821+Rechner!$E$7)</f>
        <v/>
      </c>
      <c r="D821">
        <f>J820</f>
        <v/>
      </c>
      <c r="E821">
        <f>IF(A821="",0,D821*C821/100/(DATE(YEAR(A821)+1,1,1)-DATE(YEAR(A821),1,1)))</f>
        <v/>
      </c>
      <c r="F821">
        <f>IF(A821="",0,SUMIF(Rechner!$A$12:$A$21,A821,Rechner!$B$12:$B$21))</f>
        <v/>
      </c>
      <c r="G821">
        <f>H820+E821</f>
        <v/>
      </c>
      <c r="H821">
        <f>G821-MIN(F821,G821)</f>
        <v/>
      </c>
      <c r="I821">
        <f>MIN(F821-MIN(F821,G821),D821)</f>
        <v/>
      </c>
      <c r="J821">
        <f>D821-I821</f>
        <v/>
      </c>
      <c r="K821">
        <f>F821-MIN(F821,G821)-I821</f>
        <v/>
      </c>
    </row>
    <row r="822">
      <c r="A822" s="21">
        <f>IF(Rechner!$E$4&lt;&gt;"ok","",IF(Rechner!$E$5+820&lt;=Rechner!$B$6,Rechner!$E$5+820,""))</f>
        <v/>
      </c>
      <c r="B822">
        <f>IF(A822="","",LOOKUP(A822,Basiszins!$A$5:$A$18,Basiszins!$B$5:$B$18))</f>
        <v/>
      </c>
      <c r="C822">
        <f>IF(A822="","",B822+Rechner!$E$7)</f>
        <v/>
      </c>
      <c r="D822">
        <f>J821</f>
        <v/>
      </c>
      <c r="E822">
        <f>IF(A822="",0,D822*C822/100/(DATE(YEAR(A822)+1,1,1)-DATE(YEAR(A822),1,1)))</f>
        <v/>
      </c>
      <c r="F822">
        <f>IF(A822="",0,SUMIF(Rechner!$A$12:$A$21,A822,Rechner!$B$12:$B$21))</f>
        <v/>
      </c>
      <c r="G822">
        <f>H821+E822</f>
        <v/>
      </c>
      <c r="H822">
        <f>G822-MIN(F822,G822)</f>
        <v/>
      </c>
      <c r="I822">
        <f>MIN(F822-MIN(F822,G822),D822)</f>
        <v/>
      </c>
      <c r="J822">
        <f>D822-I822</f>
        <v/>
      </c>
      <c r="K822">
        <f>F822-MIN(F822,G822)-I822</f>
        <v/>
      </c>
    </row>
    <row r="823">
      <c r="A823" s="21">
        <f>IF(Rechner!$E$4&lt;&gt;"ok","",IF(Rechner!$E$5+821&lt;=Rechner!$B$6,Rechner!$E$5+821,""))</f>
        <v/>
      </c>
      <c r="B823">
        <f>IF(A823="","",LOOKUP(A823,Basiszins!$A$5:$A$18,Basiszins!$B$5:$B$18))</f>
        <v/>
      </c>
      <c r="C823">
        <f>IF(A823="","",B823+Rechner!$E$7)</f>
        <v/>
      </c>
      <c r="D823">
        <f>J822</f>
        <v/>
      </c>
      <c r="E823">
        <f>IF(A823="",0,D823*C823/100/(DATE(YEAR(A823)+1,1,1)-DATE(YEAR(A823),1,1)))</f>
        <v/>
      </c>
      <c r="F823">
        <f>IF(A823="",0,SUMIF(Rechner!$A$12:$A$21,A823,Rechner!$B$12:$B$21))</f>
        <v/>
      </c>
      <c r="G823">
        <f>H822+E823</f>
        <v/>
      </c>
      <c r="H823">
        <f>G823-MIN(F823,G823)</f>
        <v/>
      </c>
      <c r="I823">
        <f>MIN(F823-MIN(F823,G823),D823)</f>
        <v/>
      </c>
      <c r="J823">
        <f>D823-I823</f>
        <v/>
      </c>
      <c r="K823">
        <f>F823-MIN(F823,G823)-I823</f>
        <v/>
      </c>
    </row>
    <row r="824">
      <c r="A824" s="21">
        <f>IF(Rechner!$E$4&lt;&gt;"ok","",IF(Rechner!$E$5+822&lt;=Rechner!$B$6,Rechner!$E$5+822,""))</f>
        <v/>
      </c>
      <c r="B824">
        <f>IF(A824="","",LOOKUP(A824,Basiszins!$A$5:$A$18,Basiszins!$B$5:$B$18))</f>
        <v/>
      </c>
      <c r="C824">
        <f>IF(A824="","",B824+Rechner!$E$7)</f>
        <v/>
      </c>
      <c r="D824">
        <f>J823</f>
        <v/>
      </c>
      <c r="E824">
        <f>IF(A824="",0,D824*C824/100/(DATE(YEAR(A824)+1,1,1)-DATE(YEAR(A824),1,1)))</f>
        <v/>
      </c>
      <c r="F824">
        <f>IF(A824="",0,SUMIF(Rechner!$A$12:$A$21,A824,Rechner!$B$12:$B$21))</f>
        <v/>
      </c>
      <c r="G824">
        <f>H823+E824</f>
        <v/>
      </c>
      <c r="H824">
        <f>G824-MIN(F824,G824)</f>
        <v/>
      </c>
      <c r="I824">
        <f>MIN(F824-MIN(F824,G824),D824)</f>
        <v/>
      </c>
      <c r="J824">
        <f>D824-I824</f>
        <v/>
      </c>
      <c r="K824">
        <f>F824-MIN(F824,G824)-I824</f>
        <v/>
      </c>
    </row>
    <row r="825">
      <c r="A825" s="21">
        <f>IF(Rechner!$E$4&lt;&gt;"ok","",IF(Rechner!$E$5+823&lt;=Rechner!$B$6,Rechner!$E$5+823,""))</f>
        <v/>
      </c>
      <c r="B825">
        <f>IF(A825="","",LOOKUP(A825,Basiszins!$A$5:$A$18,Basiszins!$B$5:$B$18))</f>
        <v/>
      </c>
      <c r="C825">
        <f>IF(A825="","",B825+Rechner!$E$7)</f>
        <v/>
      </c>
      <c r="D825">
        <f>J824</f>
        <v/>
      </c>
      <c r="E825">
        <f>IF(A825="",0,D825*C825/100/(DATE(YEAR(A825)+1,1,1)-DATE(YEAR(A825),1,1)))</f>
        <v/>
      </c>
      <c r="F825">
        <f>IF(A825="",0,SUMIF(Rechner!$A$12:$A$21,A825,Rechner!$B$12:$B$21))</f>
        <v/>
      </c>
      <c r="G825">
        <f>H824+E825</f>
        <v/>
      </c>
      <c r="H825">
        <f>G825-MIN(F825,G825)</f>
        <v/>
      </c>
      <c r="I825">
        <f>MIN(F825-MIN(F825,G825),D825)</f>
        <v/>
      </c>
      <c r="J825">
        <f>D825-I825</f>
        <v/>
      </c>
      <c r="K825">
        <f>F825-MIN(F825,G825)-I825</f>
        <v/>
      </c>
    </row>
    <row r="826">
      <c r="A826" s="21">
        <f>IF(Rechner!$E$4&lt;&gt;"ok","",IF(Rechner!$E$5+824&lt;=Rechner!$B$6,Rechner!$E$5+824,""))</f>
        <v/>
      </c>
      <c r="B826">
        <f>IF(A826="","",LOOKUP(A826,Basiszins!$A$5:$A$18,Basiszins!$B$5:$B$18))</f>
        <v/>
      </c>
      <c r="C826">
        <f>IF(A826="","",B826+Rechner!$E$7)</f>
        <v/>
      </c>
      <c r="D826">
        <f>J825</f>
        <v/>
      </c>
      <c r="E826">
        <f>IF(A826="",0,D826*C826/100/(DATE(YEAR(A826)+1,1,1)-DATE(YEAR(A826),1,1)))</f>
        <v/>
      </c>
      <c r="F826">
        <f>IF(A826="",0,SUMIF(Rechner!$A$12:$A$21,A826,Rechner!$B$12:$B$21))</f>
        <v/>
      </c>
      <c r="G826">
        <f>H825+E826</f>
        <v/>
      </c>
      <c r="H826">
        <f>G826-MIN(F826,G826)</f>
        <v/>
      </c>
      <c r="I826">
        <f>MIN(F826-MIN(F826,G826),D826)</f>
        <v/>
      </c>
      <c r="J826">
        <f>D826-I826</f>
        <v/>
      </c>
      <c r="K826">
        <f>F826-MIN(F826,G826)-I826</f>
        <v/>
      </c>
    </row>
    <row r="827">
      <c r="A827" s="21">
        <f>IF(Rechner!$E$4&lt;&gt;"ok","",IF(Rechner!$E$5+825&lt;=Rechner!$B$6,Rechner!$E$5+825,""))</f>
        <v/>
      </c>
      <c r="B827">
        <f>IF(A827="","",LOOKUP(A827,Basiszins!$A$5:$A$18,Basiszins!$B$5:$B$18))</f>
        <v/>
      </c>
      <c r="C827">
        <f>IF(A827="","",B827+Rechner!$E$7)</f>
        <v/>
      </c>
      <c r="D827">
        <f>J826</f>
        <v/>
      </c>
      <c r="E827">
        <f>IF(A827="",0,D827*C827/100/(DATE(YEAR(A827)+1,1,1)-DATE(YEAR(A827),1,1)))</f>
        <v/>
      </c>
      <c r="F827">
        <f>IF(A827="",0,SUMIF(Rechner!$A$12:$A$21,A827,Rechner!$B$12:$B$21))</f>
        <v/>
      </c>
      <c r="G827">
        <f>H826+E827</f>
        <v/>
      </c>
      <c r="H827">
        <f>G827-MIN(F827,G827)</f>
        <v/>
      </c>
      <c r="I827">
        <f>MIN(F827-MIN(F827,G827),D827)</f>
        <v/>
      </c>
      <c r="J827">
        <f>D827-I827</f>
        <v/>
      </c>
      <c r="K827">
        <f>F827-MIN(F827,G827)-I827</f>
        <v/>
      </c>
    </row>
    <row r="828">
      <c r="A828" s="21">
        <f>IF(Rechner!$E$4&lt;&gt;"ok","",IF(Rechner!$E$5+826&lt;=Rechner!$B$6,Rechner!$E$5+826,""))</f>
        <v/>
      </c>
      <c r="B828">
        <f>IF(A828="","",LOOKUP(A828,Basiszins!$A$5:$A$18,Basiszins!$B$5:$B$18))</f>
        <v/>
      </c>
      <c r="C828">
        <f>IF(A828="","",B828+Rechner!$E$7)</f>
        <v/>
      </c>
      <c r="D828">
        <f>J827</f>
        <v/>
      </c>
      <c r="E828">
        <f>IF(A828="",0,D828*C828/100/(DATE(YEAR(A828)+1,1,1)-DATE(YEAR(A828),1,1)))</f>
        <v/>
      </c>
      <c r="F828">
        <f>IF(A828="",0,SUMIF(Rechner!$A$12:$A$21,A828,Rechner!$B$12:$B$21))</f>
        <v/>
      </c>
      <c r="G828">
        <f>H827+E828</f>
        <v/>
      </c>
      <c r="H828">
        <f>G828-MIN(F828,G828)</f>
        <v/>
      </c>
      <c r="I828">
        <f>MIN(F828-MIN(F828,G828),D828)</f>
        <v/>
      </c>
      <c r="J828">
        <f>D828-I828</f>
        <v/>
      </c>
      <c r="K828">
        <f>F828-MIN(F828,G828)-I828</f>
        <v/>
      </c>
    </row>
    <row r="829">
      <c r="A829" s="21">
        <f>IF(Rechner!$E$4&lt;&gt;"ok","",IF(Rechner!$E$5+827&lt;=Rechner!$B$6,Rechner!$E$5+827,""))</f>
        <v/>
      </c>
      <c r="B829">
        <f>IF(A829="","",LOOKUP(A829,Basiszins!$A$5:$A$18,Basiszins!$B$5:$B$18))</f>
        <v/>
      </c>
      <c r="C829">
        <f>IF(A829="","",B829+Rechner!$E$7)</f>
        <v/>
      </c>
      <c r="D829">
        <f>J828</f>
        <v/>
      </c>
      <c r="E829">
        <f>IF(A829="",0,D829*C829/100/(DATE(YEAR(A829)+1,1,1)-DATE(YEAR(A829),1,1)))</f>
        <v/>
      </c>
      <c r="F829">
        <f>IF(A829="",0,SUMIF(Rechner!$A$12:$A$21,A829,Rechner!$B$12:$B$21))</f>
        <v/>
      </c>
      <c r="G829">
        <f>H828+E829</f>
        <v/>
      </c>
      <c r="H829">
        <f>G829-MIN(F829,G829)</f>
        <v/>
      </c>
      <c r="I829">
        <f>MIN(F829-MIN(F829,G829),D829)</f>
        <v/>
      </c>
      <c r="J829">
        <f>D829-I829</f>
        <v/>
      </c>
      <c r="K829">
        <f>F829-MIN(F829,G829)-I829</f>
        <v/>
      </c>
    </row>
    <row r="830">
      <c r="A830" s="21">
        <f>IF(Rechner!$E$4&lt;&gt;"ok","",IF(Rechner!$E$5+828&lt;=Rechner!$B$6,Rechner!$E$5+828,""))</f>
        <v/>
      </c>
      <c r="B830">
        <f>IF(A830="","",LOOKUP(A830,Basiszins!$A$5:$A$18,Basiszins!$B$5:$B$18))</f>
        <v/>
      </c>
      <c r="C830">
        <f>IF(A830="","",B830+Rechner!$E$7)</f>
        <v/>
      </c>
      <c r="D830">
        <f>J829</f>
        <v/>
      </c>
      <c r="E830">
        <f>IF(A830="",0,D830*C830/100/(DATE(YEAR(A830)+1,1,1)-DATE(YEAR(A830),1,1)))</f>
        <v/>
      </c>
      <c r="F830">
        <f>IF(A830="",0,SUMIF(Rechner!$A$12:$A$21,A830,Rechner!$B$12:$B$21))</f>
        <v/>
      </c>
      <c r="G830">
        <f>H829+E830</f>
        <v/>
      </c>
      <c r="H830">
        <f>G830-MIN(F830,G830)</f>
        <v/>
      </c>
      <c r="I830">
        <f>MIN(F830-MIN(F830,G830),D830)</f>
        <v/>
      </c>
      <c r="J830">
        <f>D830-I830</f>
        <v/>
      </c>
      <c r="K830">
        <f>F830-MIN(F830,G830)-I830</f>
        <v/>
      </c>
    </row>
    <row r="831">
      <c r="A831" s="21">
        <f>IF(Rechner!$E$4&lt;&gt;"ok","",IF(Rechner!$E$5+829&lt;=Rechner!$B$6,Rechner!$E$5+829,""))</f>
        <v/>
      </c>
      <c r="B831">
        <f>IF(A831="","",LOOKUP(A831,Basiszins!$A$5:$A$18,Basiszins!$B$5:$B$18))</f>
        <v/>
      </c>
      <c r="C831">
        <f>IF(A831="","",B831+Rechner!$E$7)</f>
        <v/>
      </c>
      <c r="D831">
        <f>J830</f>
        <v/>
      </c>
      <c r="E831">
        <f>IF(A831="",0,D831*C831/100/(DATE(YEAR(A831)+1,1,1)-DATE(YEAR(A831),1,1)))</f>
        <v/>
      </c>
      <c r="F831">
        <f>IF(A831="",0,SUMIF(Rechner!$A$12:$A$21,A831,Rechner!$B$12:$B$21))</f>
        <v/>
      </c>
      <c r="G831">
        <f>H830+E831</f>
        <v/>
      </c>
      <c r="H831">
        <f>G831-MIN(F831,G831)</f>
        <v/>
      </c>
      <c r="I831">
        <f>MIN(F831-MIN(F831,G831),D831)</f>
        <v/>
      </c>
      <c r="J831">
        <f>D831-I831</f>
        <v/>
      </c>
      <c r="K831">
        <f>F831-MIN(F831,G831)-I831</f>
        <v/>
      </c>
    </row>
    <row r="832">
      <c r="A832" s="21">
        <f>IF(Rechner!$E$4&lt;&gt;"ok","",IF(Rechner!$E$5+830&lt;=Rechner!$B$6,Rechner!$E$5+830,""))</f>
        <v/>
      </c>
      <c r="B832">
        <f>IF(A832="","",LOOKUP(A832,Basiszins!$A$5:$A$18,Basiszins!$B$5:$B$18))</f>
        <v/>
      </c>
      <c r="C832">
        <f>IF(A832="","",B832+Rechner!$E$7)</f>
        <v/>
      </c>
      <c r="D832">
        <f>J831</f>
        <v/>
      </c>
      <c r="E832">
        <f>IF(A832="",0,D832*C832/100/(DATE(YEAR(A832)+1,1,1)-DATE(YEAR(A832),1,1)))</f>
        <v/>
      </c>
      <c r="F832">
        <f>IF(A832="",0,SUMIF(Rechner!$A$12:$A$21,A832,Rechner!$B$12:$B$21))</f>
        <v/>
      </c>
      <c r="G832">
        <f>H831+E832</f>
        <v/>
      </c>
      <c r="H832">
        <f>G832-MIN(F832,G832)</f>
        <v/>
      </c>
      <c r="I832">
        <f>MIN(F832-MIN(F832,G832),D832)</f>
        <v/>
      </c>
      <c r="J832">
        <f>D832-I832</f>
        <v/>
      </c>
      <c r="K832">
        <f>F832-MIN(F832,G832)-I832</f>
        <v/>
      </c>
    </row>
    <row r="833">
      <c r="A833" s="21">
        <f>IF(Rechner!$E$4&lt;&gt;"ok","",IF(Rechner!$E$5+831&lt;=Rechner!$B$6,Rechner!$E$5+831,""))</f>
        <v/>
      </c>
      <c r="B833">
        <f>IF(A833="","",LOOKUP(A833,Basiszins!$A$5:$A$18,Basiszins!$B$5:$B$18))</f>
        <v/>
      </c>
      <c r="C833">
        <f>IF(A833="","",B833+Rechner!$E$7)</f>
        <v/>
      </c>
      <c r="D833">
        <f>J832</f>
        <v/>
      </c>
      <c r="E833">
        <f>IF(A833="",0,D833*C833/100/(DATE(YEAR(A833)+1,1,1)-DATE(YEAR(A833),1,1)))</f>
        <v/>
      </c>
      <c r="F833">
        <f>IF(A833="",0,SUMIF(Rechner!$A$12:$A$21,A833,Rechner!$B$12:$B$21))</f>
        <v/>
      </c>
      <c r="G833">
        <f>H832+E833</f>
        <v/>
      </c>
      <c r="H833">
        <f>G833-MIN(F833,G833)</f>
        <v/>
      </c>
      <c r="I833">
        <f>MIN(F833-MIN(F833,G833),D833)</f>
        <v/>
      </c>
      <c r="J833">
        <f>D833-I833</f>
        <v/>
      </c>
      <c r="K833">
        <f>F833-MIN(F833,G833)-I833</f>
        <v/>
      </c>
    </row>
    <row r="834">
      <c r="A834" s="21">
        <f>IF(Rechner!$E$4&lt;&gt;"ok","",IF(Rechner!$E$5+832&lt;=Rechner!$B$6,Rechner!$E$5+832,""))</f>
        <v/>
      </c>
      <c r="B834">
        <f>IF(A834="","",LOOKUP(A834,Basiszins!$A$5:$A$18,Basiszins!$B$5:$B$18))</f>
        <v/>
      </c>
      <c r="C834">
        <f>IF(A834="","",B834+Rechner!$E$7)</f>
        <v/>
      </c>
      <c r="D834">
        <f>J833</f>
        <v/>
      </c>
      <c r="E834">
        <f>IF(A834="",0,D834*C834/100/(DATE(YEAR(A834)+1,1,1)-DATE(YEAR(A834),1,1)))</f>
        <v/>
      </c>
      <c r="F834">
        <f>IF(A834="",0,SUMIF(Rechner!$A$12:$A$21,A834,Rechner!$B$12:$B$21))</f>
        <v/>
      </c>
      <c r="G834">
        <f>H833+E834</f>
        <v/>
      </c>
      <c r="H834">
        <f>G834-MIN(F834,G834)</f>
        <v/>
      </c>
      <c r="I834">
        <f>MIN(F834-MIN(F834,G834),D834)</f>
        <v/>
      </c>
      <c r="J834">
        <f>D834-I834</f>
        <v/>
      </c>
      <c r="K834">
        <f>F834-MIN(F834,G834)-I834</f>
        <v/>
      </c>
    </row>
    <row r="835">
      <c r="A835" s="21">
        <f>IF(Rechner!$E$4&lt;&gt;"ok","",IF(Rechner!$E$5+833&lt;=Rechner!$B$6,Rechner!$E$5+833,""))</f>
        <v/>
      </c>
      <c r="B835">
        <f>IF(A835="","",LOOKUP(A835,Basiszins!$A$5:$A$18,Basiszins!$B$5:$B$18))</f>
        <v/>
      </c>
      <c r="C835">
        <f>IF(A835="","",B835+Rechner!$E$7)</f>
        <v/>
      </c>
      <c r="D835">
        <f>J834</f>
        <v/>
      </c>
      <c r="E835">
        <f>IF(A835="",0,D835*C835/100/(DATE(YEAR(A835)+1,1,1)-DATE(YEAR(A835),1,1)))</f>
        <v/>
      </c>
      <c r="F835">
        <f>IF(A835="",0,SUMIF(Rechner!$A$12:$A$21,A835,Rechner!$B$12:$B$21))</f>
        <v/>
      </c>
      <c r="G835">
        <f>H834+E835</f>
        <v/>
      </c>
      <c r="H835">
        <f>G835-MIN(F835,G835)</f>
        <v/>
      </c>
      <c r="I835">
        <f>MIN(F835-MIN(F835,G835),D835)</f>
        <v/>
      </c>
      <c r="J835">
        <f>D835-I835</f>
        <v/>
      </c>
      <c r="K835">
        <f>F835-MIN(F835,G835)-I835</f>
        <v/>
      </c>
    </row>
    <row r="836">
      <c r="A836" s="21">
        <f>IF(Rechner!$E$4&lt;&gt;"ok","",IF(Rechner!$E$5+834&lt;=Rechner!$B$6,Rechner!$E$5+834,""))</f>
        <v/>
      </c>
      <c r="B836">
        <f>IF(A836="","",LOOKUP(A836,Basiszins!$A$5:$A$18,Basiszins!$B$5:$B$18))</f>
        <v/>
      </c>
      <c r="C836">
        <f>IF(A836="","",B836+Rechner!$E$7)</f>
        <v/>
      </c>
      <c r="D836">
        <f>J835</f>
        <v/>
      </c>
      <c r="E836">
        <f>IF(A836="",0,D836*C836/100/(DATE(YEAR(A836)+1,1,1)-DATE(YEAR(A836),1,1)))</f>
        <v/>
      </c>
      <c r="F836">
        <f>IF(A836="",0,SUMIF(Rechner!$A$12:$A$21,A836,Rechner!$B$12:$B$21))</f>
        <v/>
      </c>
      <c r="G836">
        <f>H835+E836</f>
        <v/>
      </c>
      <c r="H836">
        <f>G836-MIN(F836,G836)</f>
        <v/>
      </c>
      <c r="I836">
        <f>MIN(F836-MIN(F836,G836),D836)</f>
        <v/>
      </c>
      <c r="J836">
        <f>D836-I836</f>
        <v/>
      </c>
      <c r="K836">
        <f>F836-MIN(F836,G836)-I836</f>
        <v/>
      </c>
    </row>
    <row r="837">
      <c r="A837" s="21">
        <f>IF(Rechner!$E$4&lt;&gt;"ok","",IF(Rechner!$E$5+835&lt;=Rechner!$B$6,Rechner!$E$5+835,""))</f>
        <v/>
      </c>
      <c r="B837">
        <f>IF(A837="","",LOOKUP(A837,Basiszins!$A$5:$A$18,Basiszins!$B$5:$B$18))</f>
        <v/>
      </c>
      <c r="C837">
        <f>IF(A837="","",B837+Rechner!$E$7)</f>
        <v/>
      </c>
      <c r="D837">
        <f>J836</f>
        <v/>
      </c>
      <c r="E837">
        <f>IF(A837="",0,D837*C837/100/(DATE(YEAR(A837)+1,1,1)-DATE(YEAR(A837),1,1)))</f>
        <v/>
      </c>
      <c r="F837">
        <f>IF(A837="",0,SUMIF(Rechner!$A$12:$A$21,A837,Rechner!$B$12:$B$21))</f>
        <v/>
      </c>
      <c r="G837">
        <f>H836+E837</f>
        <v/>
      </c>
      <c r="H837">
        <f>G837-MIN(F837,G837)</f>
        <v/>
      </c>
      <c r="I837">
        <f>MIN(F837-MIN(F837,G837),D837)</f>
        <v/>
      </c>
      <c r="J837">
        <f>D837-I837</f>
        <v/>
      </c>
      <c r="K837">
        <f>F837-MIN(F837,G837)-I837</f>
        <v/>
      </c>
    </row>
    <row r="838">
      <c r="A838" s="21">
        <f>IF(Rechner!$E$4&lt;&gt;"ok","",IF(Rechner!$E$5+836&lt;=Rechner!$B$6,Rechner!$E$5+836,""))</f>
        <v/>
      </c>
      <c r="B838">
        <f>IF(A838="","",LOOKUP(A838,Basiszins!$A$5:$A$18,Basiszins!$B$5:$B$18))</f>
        <v/>
      </c>
      <c r="C838">
        <f>IF(A838="","",B838+Rechner!$E$7)</f>
        <v/>
      </c>
      <c r="D838">
        <f>J837</f>
        <v/>
      </c>
      <c r="E838">
        <f>IF(A838="",0,D838*C838/100/(DATE(YEAR(A838)+1,1,1)-DATE(YEAR(A838),1,1)))</f>
        <v/>
      </c>
      <c r="F838">
        <f>IF(A838="",0,SUMIF(Rechner!$A$12:$A$21,A838,Rechner!$B$12:$B$21))</f>
        <v/>
      </c>
      <c r="G838">
        <f>H837+E838</f>
        <v/>
      </c>
      <c r="H838">
        <f>G838-MIN(F838,G838)</f>
        <v/>
      </c>
      <c r="I838">
        <f>MIN(F838-MIN(F838,G838),D838)</f>
        <v/>
      </c>
      <c r="J838">
        <f>D838-I838</f>
        <v/>
      </c>
      <c r="K838">
        <f>F838-MIN(F838,G838)-I838</f>
        <v/>
      </c>
    </row>
    <row r="839">
      <c r="A839" s="21">
        <f>IF(Rechner!$E$4&lt;&gt;"ok","",IF(Rechner!$E$5+837&lt;=Rechner!$B$6,Rechner!$E$5+837,""))</f>
        <v/>
      </c>
      <c r="B839">
        <f>IF(A839="","",LOOKUP(A839,Basiszins!$A$5:$A$18,Basiszins!$B$5:$B$18))</f>
        <v/>
      </c>
      <c r="C839">
        <f>IF(A839="","",B839+Rechner!$E$7)</f>
        <v/>
      </c>
      <c r="D839">
        <f>J838</f>
        <v/>
      </c>
      <c r="E839">
        <f>IF(A839="",0,D839*C839/100/(DATE(YEAR(A839)+1,1,1)-DATE(YEAR(A839),1,1)))</f>
        <v/>
      </c>
      <c r="F839">
        <f>IF(A839="",0,SUMIF(Rechner!$A$12:$A$21,A839,Rechner!$B$12:$B$21))</f>
        <v/>
      </c>
      <c r="G839">
        <f>H838+E839</f>
        <v/>
      </c>
      <c r="H839">
        <f>G839-MIN(F839,G839)</f>
        <v/>
      </c>
      <c r="I839">
        <f>MIN(F839-MIN(F839,G839),D839)</f>
        <v/>
      </c>
      <c r="J839">
        <f>D839-I839</f>
        <v/>
      </c>
      <c r="K839">
        <f>F839-MIN(F839,G839)-I839</f>
        <v/>
      </c>
    </row>
    <row r="840">
      <c r="A840" s="21">
        <f>IF(Rechner!$E$4&lt;&gt;"ok","",IF(Rechner!$E$5+838&lt;=Rechner!$B$6,Rechner!$E$5+838,""))</f>
        <v/>
      </c>
      <c r="B840">
        <f>IF(A840="","",LOOKUP(A840,Basiszins!$A$5:$A$18,Basiszins!$B$5:$B$18))</f>
        <v/>
      </c>
      <c r="C840">
        <f>IF(A840="","",B840+Rechner!$E$7)</f>
        <v/>
      </c>
      <c r="D840">
        <f>J839</f>
        <v/>
      </c>
      <c r="E840">
        <f>IF(A840="",0,D840*C840/100/(DATE(YEAR(A840)+1,1,1)-DATE(YEAR(A840),1,1)))</f>
        <v/>
      </c>
      <c r="F840">
        <f>IF(A840="",0,SUMIF(Rechner!$A$12:$A$21,A840,Rechner!$B$12:$B$21))</f>
        <v/>
      </c>
      <c r="G840">
        <f>H839+E840</f>
        <v/>
      </c>
      <c r="H840">
        <f>G840-MIN(F840,G840)</f>
        <v/>
      </c>
      <c r="I840">
        <f>MIN(F840-MIN(F840,G840),D840)</f>
        <v/>
      </c>
      <c r="J840">
        <f>D840-I840</f>
        <v/>
      </c>
      <c r="K840">
        <f>F840-MIN(F840,G840)-I840</f>
        <v/>
      </c>
    </row>
    <row r="841">
      <c r="A841" s="21">
        <f>IF(Rechner!$E$4&lt;&gt;"ok","",IF(Rechner!$E$5+839&lt;=Rechner!$B$6,Rechner!$E$5+839,""))</f>
        <v/>
      </c>
      <c r="B841">
        <f>IF(A841="","",LOOKUP(A841,Basiszins!$A$5:$A$18,Basiszins!$B$5:$B$18))</f>
        <v/>
      </c>
      <c r="C841">
        <f>IF(A841="","",B841+Rechner!$E$7)</f>
        <v/>
      </c>
      <c r="D841">
        <f>J840</f>
        <v/>
      </c>
      <c r="E841">
        <f>IF(A841="",0,D841*C841/100/(DATE(YEAR(A841)+1,1,1)-DATE(YEAR(A841),1,1)))</f>
        <v/>
      </c>
      <c r="F841">
        <f>IF(A841="",0,SUMIF(Rechner!$A$12:$A$21,A841,Rechner!$B$12:$B$21))</f>
        <v/>
      </c>
      <c r="G841">
        <f>H840+E841</f>
        <v/>
      </c>
      <c r="H841">
        <f>G841-MIN(F841,G841)</f>
        <v/>
      </c>
      <c r="I841">
        <f>MIN(F841-MIN(F841,G841),D841)</f>
        <v/>
      </c>
      <c r="J841">
        <f>D841-I841</f>
        <v/>
      </c>
      <c r="K841">
        <f>F841-MIN(F841,G841)-I841</f>
        <v/>
      </c>
    </row>
    <row r="842">
      <c r="A842" s="21">
        <f>IF(Rechner!$E$4&lt;&gt;"ok","",IF(Rechner!$E$5+840&lt;=Rechner!$B$6,Rechner!$E$5+840,""))</f>
        <v/>
      </c>
      <c r="B842">
        <f>IF(A842="","",LOOKUP(A842,Basiszins!$A$5:$A$18,Basiszins!$B$5:$B$18))</f>
        <v/>
      </c>
      <c r="C842">
        <f>IF(A842="","",B842+Rechner!$E$7)</f>
        <v/>
      </c>
      <c r="D842">
        <f>J841</f>
        <v/>
      </c>
      <c r="E842">
        <f>IF(A842="",0,D842*C842/100/(DATE(YEAR(A842)+1,1,1)-DATE(YEAR(A842),1,1)))</f>
        <v/>
      </c>
      <c r="F842">
        <f>IF(A842="",0,SUMIF(Rechner!$A$12:$A$21,A842,Rechner!$B$12:$B$21))</f>
        <v/>
      </c>
      <c r="G842">
        <f>H841+E842</f>
        <v/>
      </c>
      <c r="H842">
        <f>G842-MIN(F842,G842)</f>
        <v/>
      </c>
      <c r="I842">
        <f>MIN(F842-MIN(F842,G842),D842)</f>
        <v/>
      </c>
      <c r="J842">
        <f>D842-I842</f>
        <v/>
      </c>
      <c r="K842">
        <f>F842-MIN(F842,G842)-I842</f>
        <v/>
      </c>
    </row>
    <row r="843">
      <c r="A843" s="21">
        <f>IF(Rechner!$E$4&lt;&gt;"ok","",IF(Rechner!$E$5+841&lt;=Rechner!$B$6,Rechner!$E$5+841,""))</f>
        <v/>
      </c>
      <c r="B843">
        <f>IF(A843="","",LOOKUP(A843,Basiszins!$A$5:$A$18,Basiszins!$B$5:$B$18))</f>
        <v/>
      </c>
      <c r="C843">
        <f>IF(A843="","",B843+Rechner!$E$7)</f>
        <v/>
      </c>
      <c r="D843">
        <f>J842</f>
        <v/>
      </c>
      <c r="E843">
        <f>IF(A843="",0,D843*C843/100/(DATE(YEAR(A843)+1,1,1)-DATE(YEAR(A843),1,1)))</f>
        <v/>
      </c>
      <c r="F843">
        <f>IF(A843="",0,SUMIF(Rechner!$A$12:$A$21,A843,Rechner!$B$12:$B$21))</f>
        <v/>
      </c>
      <c r="G843">
        <f>H842+E843</f>
        <v/>
      </c>
      <c r="H843">
        <f>G843-MIN(F843,G843)</f>
        <v/>
      </c>
      <c r="I843">
        <f>MIN(F843-MIN(F843,G843),D843)</f>
        <v/>
      </c>
      <c r="J843">
        <f>D843-I843</f>
        <v/>
      </c>
      <c r="K843">
        <f>F843-MIN(F843,G843)-I843</f>
        <v/>
      </c>
    </row>
    <row r="844">
      <c r="A844" s="21">
        <f>IF(Rechner!$E$4&lt;&gt;"ok","",IF(Rechner!$E$5+842&lt;=Rechner!$B$6,Rechner!$E$5+842,""))</f>
        <v/>
      </c>
      <c r="B844">
        <f>IF(A844="","",LOOKUP(A844,Basiszins!$A$5:$A$18,Basiszins!$B$5:$B$18))</f>
        <v/>
      </c>
      <c r="C844">
        <f>IF(A844="","",B844+Rechner!$E$7)</f>
        <v/>
      </c>
      <c r="D844">
        <f>J843</f>
        <v/>
      </c>
      <c r="E844">
        <f>IF(A844="",0,D844*C844/100/(DATE(YEAR(A844)+1,1,1)-DATE(YEAR(A844),1,1)))</f>
        <v/>
      </c>
      <c r="F844">
        <f>IF(A844="",0,SUMIF(Rechner!$A$12:$A$21,A844,Rechner!$B$12:$B$21))</f>
        <v/>
      </c>
      <c r="G844">
        <f>H843+E844</f>
        <v/>
      </c>
      <c r="H844">
        <f>G844-MIN(F844,G844)</f>
        <v/>
      </c>
      <c r="I844">
        <f>MIN(F844-MIN(F844,G844),D844)</f>
        <v/>
      </c>
      <c r="J844">
        <f>D844-I844</f>
        <v/>
      </c>
      <c r="K844">
        <f>F844-MIN(F844,G844)-I844</f>
        <v/>
      </c>
    </row>
    <row r="845">
      <c r="A845" s="21">
        <f>IF(Rechner!$E$4&lt;&gt;"ok","",IF(Rechner!$E$5+843&lt;=Rechner!$B$6,Rechner!$E$5+843,""))</f>
        <v/>
      </c>
      <c r="B845">
        <f>IF(A845="","",LOOKUP(A845,Basiszins!$A$5:$A$18,Basiszins!$B$5:$B$18))</f>
        <v/>
      </c>
      <c r="C845">
        <f>IF(A845="","",B845+Rechner!$E$7)</f>
        <v/>
      </c>
      <c r="D845">
        <f>J844</f>
        <v/>
      </c>
      <c r="E845">
        <f>IF(A845="",0,D845*C845/100/(DATE(YEAR(A845)+1,1,1)-DATE(YEAR(A845),1,1)))</f>
        <v/>
      </c>
      <c r="F845">
        <f>IF(A845="",0,SUMIF(Rechner!$A$12:$A$21,A845,Rechner!$B$12:$B$21))</f>
        <v/>
      </c>
      <c r="G845">
        <f>H844+E845</f>
        <v/>
      </c>
      <c r="H845">
        <f>G845-MIN(F845,G845)</f>
        <v/>
      </c>
      <c r="I845">
        <f>MIN(F845-MIN(F845,G845),D845)</f>
        <v/>
      </c>
      <c r="J845">
        <f>D845-I845</f>
        <v/>
      </c>
      <c r="K845">
        <f>F845-MIN(F845,G845)-I845</f>
        <v/>
      </c>
    </row>
    <row r="846">
      <c r="A846" s="21">
        <f>IF(Rechner!$E$4&lt;&gt;"ok","",IF(Rechner!$E$5+844&lt;=Rechner!$B$6,Rechner!$E$5+844,""))</f>
        <v/>
      </c>
      <c r="B846">
        <f>IF(A846="","",LOOKUP(A846,Basiszins!$A$5:$A$18,Basiszins!$B$5:$B$18))</f>
        <v/>
      </c>
      <c r="C846">
        <f>IF(A846="","",B846+Rechner!$E$7)</f>
        <v/>
      </c>
      <c r="D846">
        <f>J845</f>
        <v/>
      </c>
      <c r="E846">
        <f>IF(A846="",0,D846*C846/100/(DATE(YEAR(A846)+1,1,1)-DATE(YEAR(A846),1,1)))</f>
        <v/>
      </c>
      <c r="F846">
        <f>IF(A846="",0,SUMIF(Rechner!$A$12:$A$21,A846,Rechner!$B$12:$B$21))</f>
        <v/>
      </c>
      <c r="G846">
        <f>H845+E846</f>
        <v/>
      </c>
      <c r="H846">
        <f>G846-MIN(F846,G846)</f>
        <v/>
      </c>
      <c r="I846">
        <f>MIN(F846-MIN(F846,G846),D846)</f>
        <v/>
      </c>
      <c r="J846">
        <f>D846-I846</f>
        <v/>
      </c>
      <c r="K846">
        <f>F846-MIN(F846,G846)-I846</f>
        <v/>
      </c>
    </row>
    <row r="847">
      <c r="A847" s="21">
        <f>IF(Rechner!$E$4&lt;&gt;"ok","",IF(Rechner!$E$5+845&lt;=Rechner!$B$6,Rechner!$E$5+845,""))</f>
        <v/>
      </c>
      <c r="B847">
        <f>IF(A847="","",LOOKUP(A847,Basiszins!$A$5:$A$18,Basiszins!$B$5:$B$18))</f>
        <v/>
      </c>
      <c r="C847">
        <f>IF(A847="","",B847+Rechner!$E$7)</f>
        <v/>
      </c>
      <c r="D847">
        <f>J846</f>
        <v/>
      </c>
      <c r="E847">
        <f>IF(A847="",0,D847*C847/100/(DATE(YEAR(A847)+1,1,1)-DATE(YEAR(A847),1,1)))</f>
        <v/>
      </c>
      <c r="F847">
        <f>IF(A847="",0,SUMIF(Rechner!$A$12:$A$21,A847,Rechner!$B$12:$B$21))</f>
        <v/>
      </c>
      <c r="G847">
        <f>H846+E847</f>
        <v/>
      </c>
      <c r="H847">
        <f>G847-MIN(F847,G847)</f>
        <v/>
      </c>
      <c r="I847">
        <f>MIN(F847-MIN(F847,G847),D847)</f>
        <v/>
      </c>
      <c r="J847">
        <f>D847-I847</f>
        <v/>
      </c>
      <c r="K847">
        <f>F847-MIN(F847,G847)-I847</f>
        <v/>
      </c>
    </row>
    <row r="848">
      <c r="A848" s="21">
        <f>IF(Rechner!$E$4&lt;&gt;"ok","",IF(Rechner!$E$5+846&lt;=Rechner!$B$6,Rechner!$E$5+846,""))</f>
        <v/>
      </c>
      <c r="B848">
        <f>IF(A848="","",LOOKUP(A848,Basiszins!$A$5:$A$18,Basiszins!$B$5:$B$18))</f>
        <v/>
      </c>
      <c r="C848">
        <f>IF(A848="","",B848+Rechner!$E$7)</f>
        <v/>
      </c>
      <c r="D848">
        <f>J847</f>
        <v/>
      </c>
      <c r="E848">
        <f>IF(A848="",0,D848*C848/100/(DATE(YEAR(A848)+1,1,1)-DATE(YEAR(A848),1,1)))</f>
        <v/>
      </c>
      <c r="F848">
        <f>IF(A848="",0,SUMIF(Rechner!$A$12:$A$21,A848,Rechner!$B$12:$B$21))</f>
        <v/>
      </c>
      <c r="G848">
        <f>H847+E848</f>
        <v/>
      </c>
      <c r="H848">
        <f>G848-MIN(F848,G848)</f>
        <v/>
      </c>
      <c r="I848">
        <f>MIN(F848-MIN(F848,G848),D848)</f>
        <v/>
      </c>
      <c r="J848">
        <f>D848-I848</f>
        <v/>
      </c>
      <c r="K848">
        <f>F848-MIN(F848,G848)-I848</f>
        <v/>
      </c>
    </row>
    <row r="849">
      <c r="A849" s="21">
        <f>IF(Rechner!$E$4&lt;&gt;"ok","",IF(Rechner!$E$5+847&lt;=Rechner!$B$6,Rechner!$E$5+847,""))</f>
        <v/>
      </c>
      <c r="B849">
        <f>IF(A849="","",LOOKUP(A849,Basiszins!$A$5:$A$18,Basiszins!$B$5:$B$18))</f>
        <v/>
      </c>
      <c r="C849">
        <f>IF(A849="","",B849+Rechner!$E$7)</f>
        <v/>
      </c>
      <c r="D849">
        <f>J848</f>
        <v/>
      </c>
      <c r="E849">
        <f>IF(A849="",0,D849*C849/100/(DATE(YEAR(A849)+1,1,1)-DATE(YEAR(A849),1,1)))</f>
        <v/>
      </c>
      <c r="F849">
        <f>IF(A849="",0,SUMIF(Rechner!$A$12:$A$21,A849,Rechner!$B$12:$B$21))</f>
        <v/>
      </c>
      <c r="G849">
        <f>H848+E849</f>
        <v/>
      </c>
      <c r="H849">
        <f>G849-MIN(F849,G849)</f>
        <v/>
      </c>
      <c r="I849">
        <f>MIN(F849-MIN(F849,G849),D849)</f>
        <v/>
      </c>
      <c r="J849">
        <f>D849-I849</f>
        <v/>
      </c>
      <c r="K849">
        <f>F849-MIN(F849,G849)-I849</f>
        <v/>
      </c>
    </row>
    <row r="850">
      <c r="A850" s="21">
        <f>IF(Rechner!$E$4&lt;&gt;"ok","",IF(Rechner!$E$5+848&lt;=Rechner!$B$6,Rechner!$E$5+848,""))</f>
        <v/>
      </c>
      <c r="B850">
        <f>IF(A850="","",LOOKUP(A850,Basiszins!$A$5:$A$18,Basiszins!$B$5:$B$18))</f>
        <v/>
      </c>
      <c r="C850">
        <f>IF(A850="","",B850+Rechner!$E$7)</f>
        <v/>
      </c>
      <c r="D850">
        <f>J849</f>
        <v/>
      </c>
      <c r="E850">
        <f>IF(A850="",0,D850*C850/100/(DATE(YEAR(A850)+1,1,1)-DATE(YEAR(A850),1,1)))</f>
        <v/>
      </c>
      <c r="F850">
        <f>IF(A850="",0,SUMIF(Rechner!$A$12:$A$21,A850,Rechner!$B$12:$B$21))</f>
        <v/>
      </c>
      <c r="G850">
        <f>H849+E850</f>
        <v/>
      </c>
      <c r="H850">
        <f>G850-MIN(F850,G850)</f>
        <v/>
      </c>
      <c r="I850">
        <f>MIN(F850-MIN(F850,G850),D850)</f>
        <v/>
      </c>
      <c r="J850">
        <f>D850-I850</f>
        <v/>
      </c>
      <c r="K850">
        <f>F850-MIN(F850,G850)-I850</f>
        <v/>
      </c>
    </row>
    <row r="851">
      <c r="A851" s="21">
        <f>IF(Rechner!$E$4&lt;&gt;"ok","",IF(Rechner!$E$5+849&lt;=Rechner!$B$6,Rechner!$E$5+849,""))</f>
        <v/>
      </c>
      <c r="B851">
        <f>IF(A851="","",LOOKUP(A851,Basiszins!$A$5:$A$18,Basiszins!$B$5:$B$18))</f>
        <v/>
      </c>
      <c r="C851">
        <f>IF(A851="","",B851+Rechner!$E$7)</f>
        <v/>
      </c>
      <c r="D851">
        <f>J850</f>
        <v/>
      </c>
      <c r="E851">
        <f>IF(A851="",0,D851*C851/100/(DATE(YEAR(A851)+1,1,1)-DATE(YEAR(A851),1,1)))</f>
        <v/>
      </c>
      <c r="F851">
        <f>IF(A851="",0,SUMIF(Rechner!$A$12:$A$21,A851,Rechner!$B$12:$B$21))</f>
        <v/>
      </c>
      <c r="G851">
        <f>H850+E851</f>
        <v/>
      </c>
      <c r="H851">
        <f>G851-MIN(F851,G851)</f>
        <v/>
      </c>
      <c r="I851">
        <f>MIN(F851-MIN(F851,G851),D851)</f>
        <v/>
      </c>
      <c r="J851">
        <f>D851-I851</f>
        <v/>
      </c>
      <c r="K851">
        <f>F851-MIN(F851,G851)-I851</f>
        <v/>
      </c>
    </row>
    <row r="852">
      <c r="A852" s="21">
        <f>IF(Rechner!$E$4&lt;&gt;"ok","",IF(Rechner!$E$5+850&lt;=Rechner!$B$6,Rechner!$E$5+850,""))</f>
        <v/>
      </c>
      <c r="B852">
        <f>IF(A852="","",LOOKUP(A852,Basiszins!$A$5:$A$18,Basiszins!$B$5:$B$18))</f>
        <v/>
      </c>
      <c r="C852">
        <f>IF(A852="","",B852+Rechner!$E$7)</f>
        <v/>
      </c>
      <c r="D852">
        <f>J851</f>
        <v/>
      </c>
      <c r="E852">
        <f>IF(A852="",0,D852*C852/100/(DATE(YEAR(A852)+1,1,1)-DATE(YEAR(A852),1,1)))</f>
        <v/>
      </c>
      <c r="F852">
        <f>IF(A852="",0,SUMIF(Rechner!$A$12:$A$21,A852,Rechner!$B$12:$B$21))</f>
        <v/>
      </c>
      <c r="G852">
        <f>H851+E852</f>
        <v/>
      </c>
      <c r="H852">
        <f>G852-MIN(F852,G852)</f>
        <v/>
      </c>
      <c r="I852">
        <f>MIN(F852-MIN(F852,G852),D852)</f>
        <v/>
      </c>
      <c r="J852">
        <f>D852-I852</f>
        <v/>
      </c>
      <c r="K852">
        <f>F852-MIN(F852,G852)-I852</f>
        <v/>
      </c>
    </row>
    <row r="853">
      <c r="A853" s="21">
        <f>IF(Rechner!$E$4&lt;&gt;"ok","",IF(Rechner!$E$5+851&lt;=Rechner!$B$6,Rechner!$E$5+851,""))</f>
        <v/>
      </c>
      <c r="B853">
        <f>IF(A853="","",LOOKUP(A853,Basiszins!$A$5:$A$18,Basiszins!$B$5:$B$18))</f>
        <v/>
      </c>
      <c r="C853">
        <f>IF(A853="","",B853+Rechner!$E$7)</f>
        <v/>
      </c>
      <c r="D853">
        <f>J852</f>
        <v/>
      </c>
      <c r="E853">
        <f>IF(A853="",0,D853*C853/100/(DATE(YEAR(A853)+1,1,1)-DATE(YEAR(A853),1,1)))</f>
        <v/>
      </c>
      <c r="F853">
        <f>IF(A853="",0,SUMIF(Rechner!$A$12:$A$21,A853,Rechner!$B$12:$B$21))</f>
        <v/>
      </c>
      <c r="G853">
        <f>H852+E853</f>
        <v/>
      </c>
      <c r="H853">
        <f>G853-MIN(F853,G853)</f>
        <v/>
      </c>
      <c r="I853">
        <f>MIN(F853-MIN(F853,G853),D853)</f>
        <v/>
      </c>
      <c r="J853">
        <f>D853-I853</f>
        <v/>
      </c>
      <c r="K853">
        <f>F853-MIN(F853,G853)-I853</f>
        <v/>
      </c>
    </row>
    <row r="854">
      <c r="A854" s="21">
        <f>IF(Rechner!$E$4&lt;&gt;"ok","",IF(Rechner!$E$5+852&lt;=Rechner!$B$6,Rechner!$E$5+852,""))</f>
        <v/>
      </c>
      <c r="B854">
        <f>IF(A854="","",LOOKUP(A854,Basiszins!$A$5:$A$18,Basiszins!$B$5:$B$18))</f>
        <v/>
      </c>
      <c r="C854">
        <f>IF(A854="","",B854+Rechner!$E$7)</f>
        <v/>
      </c>
      <c r="D854">
        <f>J853</f>
        <v/>
      </c>
      <c r="E854">
        <f>IF(A854="",0,D854*C854/100/(DATE(YEAR(A854)+1,1,1)-DATE(YEAR(A854),1,1)))</f>
        <v/>
      </c>
      <c r="F854">
        <f>IF(A854="",0,SUMIF(Rechner!$A$12:$A$21,A854,Rechner!$B$12:$B$21))</f>
        <v/>
      </c>
      <c r="G854">
        <f>H853+E854</f>
        <v/>
      </c>
      <c r="H854">
        <f>G854-MIN(F854,G854)</f>
        <v/>
      </c>
      <c r="I854">
        <f>MIN(F854-MIN(F854,G854),D854)</f>
        <v/>
      </c>
      <c r="J854">
        <f>D854-I854</f>
        <v/>
      </c>
      <c r="K854">
        <f>F854-MIN(F854,G854)-I854</f>
        <v/>
      </c>
    </row>
    <row r="855">
      <c r="A855" s="21">
        <f>IF(Rechner!$E$4&lt;&gt;"ok","",IF(Rechner!$E$5+853&lt;=Rechner!$B$6,Rechner!$E$5+853,""))</f>
        <v/>
      </c>
      <c r="B855">
        <f>IF(A855="","",LOOKUP(A855,Basiszins!$A$5:$A$18,Basiszins!$B$5:$B$18))</f>
        <v/>
      </c>
      <c r="C855">
        <f>IF(A855="","",B855+Rechner!$E$7)</f>
        <v/>
      </c>
      <c r="D855">
        <f>J854</f>
        <v/>
      </c>
      <c r="E855">
        <f>IF(A855="",0,D855*C855/100/(DATE(YEAR(A855)+1,1,1)-DATE(YEAR(A855),1,1)))</f>
        <v/>
      </c>
      <c r="F855">
        <f>IF(A855="",0,SUMIF(Rechner!$A$12:$A$21,A855,Rechner!$B$12:$B$21))</f>
        <v/>
      </c>
      <c r="G855">
        <f>H854+E855</f>
        <v/>
      </c>
      <c r="H855">
        <f>G855-MIN(F855,G855)</f>
        <v/>
      </c>
      <c r="I855">
        <f>MIN(F855-MIN(F855,G855),D855)</f>
        <v/>
      </c>
      <c r="J855">
        <f>D855-I855</f>
        <v/>
      </c>
      <c r="K855">
        <f>F855-MIN(F855,G855)-I855</f>
        <v/>
      </c>
    </row>
    <row r="856">
      <c r="A856" s="21">
        <f>IF(Rechner!$E$4&lt;&gt;"ok","",IF(Rechner!$E$5+854&lt;=Rechner!$B$6,Rechner!$E$5+854,""))</f>
        <v/>
      </c>
      <c r="B856">
        <f>IF(A856="","",LOOKUP(A856,Basiszins!$A$5:$A$18,Basiszins!$B$5:$B$18))</f>
        <v/>
      </c>
      <c r="C856">
        <f>IF(A856="","",B856+Rechner!$E$7)</f>
        <v/>
      </c>
      <c r="D856">
        <f>J855</f>
        <v/>
      </c>
      <c r="E856">
        <f>IF(A856="",0,D856*C856/100/(DATE(YEAR(A856)+1,1,1)-DATE(YEAR(A856),1,1)))</f>
        <v/>
      </c>
      <c r="F856">
        <f>IF(A856="",0,SUMIF(Rechner!$A$12:$A$21,A856,Rechner!$B$12:$B$21))</f>
        <v/>
      </c>
      <c r="G856">
        <f>H855+E856</f>
        <v/>
      </c>
      <c r="H856">
        <f>G856-MIN(F856,G856)</f>
        <v/>
      </c>
      <c r="I856">
        <f>MIN(F856-MIN(F856,G856),D856)</f>
        <v/>
      </c>
      <c r="J856">
        <f>D856-I856</f>
        <v/>
      </c>
      <c r="K856">
        <f>F856-MIN(F856,G856)-I856</f>
        <v/>
      </c>
    </row>
    <row r="857">
      <c r="A857" s="21">
        <f>IF(Rechner!$E$4&lt;&gt;"ok","",IF(Rechner!$E$5+855&lt;=Rechner!$B$6,Rechner!$E$5+855,""))</f>
        <v/>
      </c>
      <c r="B857">
        <f>IF(A857="","",LOOKUP(A857,Basiszins!$A$5:$A$18,Basiszins!$B$5:$B$18))</f>
        <v/>
      </c>
      <c r="C857">
        <f>IF(A857="","",B857+Rechner!$E$7)</f>
        <v/>
      </c>
      <c r="D857">
        <f>J856</f>
        <v/>
      </c>
      <c r="E857">
        <f>IF(A857="",0,D857*C857/100/(DATE(YEAR(A857)+1,1,1)-DATE(YEAR(A857),1,1)))</f>
        <v/>
      </c>
      <c r="F857">
        <f>IF(A857="",0,SUMIF(Rechner!$A$12:$A$21,A857,Rechner!$B$12:$B$21))</f>
        <v/>
      </c>
      <c r="G857">
        <f>H856+E857</f>
        <v/>
      </c>
      <c r="H857">
        <f>G857-MIN(F857,G857)</f>
        <v/>
      </c>
      <c r="I857">
        <f>MIN(F857-MIN(F857,G857),D857)</f>
        <v/>
      </c>
      <c r="J857">
        <f>D857-I857</f>
        <v/>
      </c>
      <c r="K857">
        <f>F857-MIN(F857,G857)-I857</f>
        <v/>
      </c>
    </row>
    <row r="858">
      <c r="A858" s="21">
        <f>IF(Rechner!$E$4&lt;&gt;"ok","",IF(Rechner!$E$5+856&lt;=Rechner!$B$6,Rechner!$E$5+856,""))</f>
        <v/>
      </c>
      <c r="B858">
        <f>IF(A858="","",LOOKUP(A858,Basiszins!$A$5:$A$18,Basiszins!$B$5:$B$18))</f>
        <v/>
      </c>
      <c r="C858">
        <f>IF(A858="","",B858+Rechner!$E$7)</f>
        <v/>
      </c>
      <c r="D858">
        <f>J857</f>
        <v/>
      </c>
      <c r="E858">
        <f>IF(A858="",0,D858*C858/100/(DATE(YEAR(A858)+1,1,1)-DATE(YEAR(A858),1,1)))</f>
        <v/>
      </c>
      <c r="F858">
        <f>IF(A858="",0,SUMIF(Rechner!$A$12:$A$21,A858,Rechner!$B$12:$B$21))</f>
        <v/>
      </c>
      <c r="G858">
        <f>H857+E858</f>
        <v/>
      </c>
      <c r="H858">
        <f>G858-MIN(F858,G858)</f>
        <v/>
      </c>
      <c r="I858">
        <f>MIN(F858-MIN(F858,G858),D858)</f>
        <v/>
      </c>
      <c r="J858">
        <f>D858-I858</f>
        <v/>
      </c>
      <c r="K858">
        <f>F858-MIN(F858,G858)-I858</f>
        <v/>
      </c>
    </row>
    <row r="859">
      <c r="A859" s="21">
        <f>IF(Rechner!$E$4&lt;&gt;"ok","",IF(Rechner!$E$5+857&lt;=Rechner!$B$6,Rechner!$E$5+857,""))</f>
        <v/>
      </c>
      <c r="B859">
        <f>IF(A859="","",LOOKUP(A859,Basiszins!$A$5:$A$18,Basiszins!$B$5:$B$18))</f>
        <v/>
      </c>
      <c r="C859">
        <f>IF(A859="","",B859+Rechner!$E$7)</f>
        <v/>
      </c>
      <c r="D859">
        <f>J858</f>
        <v/>
      </c>
      <c r="E859">
        <f>IF(A859="",0,D859*C859/100/(DATE(YEAR(A859)+1,1,1)-DATE(YEAR(A859),1,1)))</f>
        <v/>
      </c>
      <c r="F859">
        <f>IF(A859="",0,SUMIF(Rechner!$A$12:$A$21,A859,Rechner!$B$12:$B$21))</f>
        <v/>
      </c>
      <c r="G859">
        <f>H858+E859</f>
        <v/>
      </c>
      <c r="H859">
        <f>G859-MIN(F859,G859)</f>
        <v/>
      </c>
      <c r="I859">
        <f>MIN(F859-MIN(F859,G859),D859)</f>
        <v/>
      </c>
      <c r="J859">
        <f>D859-I859</f>
        <v/>
      </c>
      <c r="K859">
        <f>F859-MIN(F859,G859)-I859</f>
        <v/>
      </c>
    </row>
    <row r="860">
      <c r="A860" s="21">
        <f>IF(Rechner!$E$4&lt;&gt;"ok","",IF(Rechner!$E$5+858&lt;=Rechner!$B$6,Rechner!$E$5+858,""))</f>
        <v/>
      </c>
      <c r="B860">
        <f>IF(A860="","",LOOKUP(A860,Basiszins!$A$5:$A$18,Basiszins!$B$5:$B$18))</f>
        <v/>
      </c>
      <c r="C860">
        <f>IF(A860="","",B860+Rechner!$E$7)</f>
        <v/>
      </c>
      <c r="D860">
        <f>J859</f>
        <v/>
      </c>
      <c r="E860">
        <f>IF(A860="",0,D860*C860/100/(DATE(YEAR(A860)+1,1,1)-DATE(YEAR(A860),1,1)))</f>
        <v/>
      </c>
      <c r="F860">
        <f>IF(A860="",0,SUMIF(Rechner!$A$12:$A$21,A860,Rechner!$B$12:$B$21))</f>
        <v/>
      </c>
      <c r="G860">
        <f>H859+E860</f>
        <v/>
      </c>
      <c r="H860">
        <f>G860-MIN(F860,G860)</f>
        <v/>
      </c>
      <c r="I860">
        <f>MIN(F860-MIN(F860,G860),D860)</f>
        <v/>
      </c>
      <c r="J860">
        <f>D860-I860</f>
        <v/>
      </c>
      <c r="K860">
        <f>F860-MIN(F860,G860)-I860</f>
        <v/>
      </c>
    </row>
    <row r="861">
      <c r="A861" s="21">
        <f>IF(Rechner!$E$4&lt;&gt;"ok","",IF(Rechner!$E$5+859&lt;=Rechner!$B$6,Rechner!$E$5+859,""))</f>
        <v/>
      </c>
      <c r="B861">
        <f>IF(A861="","",LOOKUP(A861,Basiszins!$A$5:$A$18,Basiszins!$B$5:$B$18))</f>
        <v/>
      </c>
      <c r="C861">
        <f>IF(A861="","",B861+Rechner!$E$7)</f>
        <v/>
      </c>
      <c r="D861">
        <f>J860</f>
        <v/>
      </c>
      <c r="E861">
        <f>IF(A861="",0,D861*C861/100/(DATE(YEAR(A861)+1,1,1)-DATE(YEAR(A861),1,1)))</f>
        <v/>
      </c>
      <c r="F861">
        <f>IF(A861="",0,SUMIF(Rechner!$A$12:$A$21,A861,Rechner!$B$12:$B$21))</f>
        <v/>
      </c>
      <c r="G861">
        <f>H860+E861</f>
        <v/>
      </c>
      <c r="H861">
        <f>G861-MIN(F861,G861)</f>
        <v/>
      </c>
      <c r="I861">
        <f>MIN(F861-MIN(F861,G861),D861)</f>
        <v/>
      </c>
      <c r="J861">
        <f>D861-I861</f>
        <v/>
      </c>
      <c r="K861">
        <f>F861-MIN(F861,G861)-I861</f>
        <v/>
      </c>
    </row>
    <row r="862">
      <c r="A862" s="21">
        <f>IF(Rechner!$E$4&lt;&gt;"ok","",IF(Rechner!$E$5+860&lt;=Rechner!$B$6,Rechner!$E$5+860,""))</f>
        <v/>
      </c>
      <c r="B862">
        <f>IF(A862="","",LOOKUP(A862,Basiszins!$A$5:$A$18,Basiszins!$B$5:$B$18))</f>
        <v/>
      </c>
      <c r="C862">
        <f>IF(A862="","",B862+Rechner!$E$7)</f>
        <v/>
      </c>
      <c r="D862">
        <f>J861</f>
        <v/>
      </c>
      <c r="E862">
        <f>IF(A862="",0,D862*C862/100/(DATE(YEAR(A862)+1,1,1)-DATE(YEAR(A862),1,1)))</f>
        <v/>
      </c>
      <c r="F862">
        <f>IF(A862="",0,SUMIF(Rechner!$A$12:$A$21,A862,Rechner!$B$12:$B$21))</f>
        <v/>
      </c>
      <c r="G862">
        <f>H861+E862</f>
        <v/>
      </c>
      <c r="H862">
        <f>G862-MIN(F862,G862)</f>
        <v/>
      </c>
      <c r="I862">
        <f>MIN(F862-MIN(F862,G862),D862)</f>
        <v/>
      </c>
      <c r="J862">
        <f>D862-I862</f>
        <v/>
      </c>
      <c r="K862">
        <f>F862-MIN(F862,G862)-I862</f>
        <v/>
      </c>
    </row>
    <row r="863">
      <c r="A863" s="21">
        <f>IF(Rechner!$E$4&lt;&gt;"ok","",IF(Rechner!$E$5+861&lt;=Rechner!$B$6,Rechner!$E$5+861,""))</f>
        <v/>
      </c>
      <c r="B863">
        <f>IF(A863="","",LOOKUP(A863,Basiszins!$A$5:$A$18,Basiszins!$B$5:$B$18))</f>
        <v/>
      </c>
      <c r="C863">
        <f>IF(A863="","",B863+Rechner!$E$7)</f>
        <v/>
      </c>
      <c r="D863">
        <f>J862</f>
        <v/>
      </c>
      <c r="E863">
        <f>IF(A863="",0,D863*C863/100/(DATE(YEAR(A863)+1,1,1)-DATE(YEAR(A863),1,1)))</f>
        <v/>
      </c>
      <c r="F863">
        <f>IF(A863="",0,SUMIF(Rechner!$A$12:$A$21,A863,Rechner!$B$12:$B$21))</f>
        <v/>
      </c>
      <c r="G863">
        <f>H862+E863</f>
        <v/>
      </c>
      <c r="H863">
        <f>G863-MIN(F863,G863)</f>
        <v/>
      </c>
      <c r="I863">
        <f>MIN(F863-MIN(F863,G863),D863)</f>
        <v/>
      </c>
      <c r="J863">
        <f>D863-I863</f>
        <v/>
      </c>
      <c r="K863">
        <f>F863-MIN(F863,G863)-I863</f>
        <v/>
      </c>
    </row>
    <row r="864">
      <c r="A864" s="21">
        <f>IF(Rechner!$E$4&lt;&gt;"ok","",IF(Rechner!$E$5+862&lt;=Rechner!$B$6,Rechner!$E$5+862,""))</f>
        <v/>
      </c>
      <c r="B864">
        <f>IF(A864="","",LOOKUP(A864,Basiszins!$A$5:$A$18,Basiszins!$B$5:$B$18))</f>
        <v/>
      </c>
      <c r="C864">
        <f>IF(A864="","",B864+Rechner!$E$7)</f>
        <v/>
      </c>
      <c r="D864">
        <f>J863</f>
        <v/>
      </c>
      <c r="E864">
        <f>IF(A864="",0,D864*C864/100/(DATE(YEAR(A864)+1,1,1)-DATE(YEAR(A864),1,1)))</f>
        <v/>
      </c>
      <c r="F864">
        <f>IF(A864="",0,SUMIF(Rechner!$A$12:$A$21,A864,Rechner!$B$12:$B$21))</f>
        <v/>
      </c>
      <c r="G864">
        <f>H863+E864</f>
        <v/>
      </c>
      <c r="H864">
        <f>G864-MIN(F864,G864)</f>
        <v/>
      </c>
      <c r="I864">
        <f>MIN(F864-MIN(F864,G864),D864)</f>
        <v/>
      </c>
      <c r="J864">
        <f>D864-I864</f>
        <v/>
      </c>
      <c r="K864">
        <f>F864-MIN(F864,G864)-I864</f>
        <v/>
      </c>
    </row>
    <row r="865">
      <c r="A865" s="21">
        <f>IF(Rechner!$E$4&lt;&gt;"ok","",IF(Rechner!$E$5+863&lt;=Rechner!$B$6,Rechner!$E$5+863,""))</f>
        <v/>
      </c>
      <c r="B865">
        <f>IF(A865="","",LOOKUP(A865,Basiszins!$A$5:$A$18,Basiszins!$B$5:$B$18))</f>
        <v/>
      </c>
      <c r="C865">
        <f>IF(A865="","",B865+Rechner!$E$7)</f>
        <v/>
      </c>
      <c r="D865">
        <f>J864</f>
        <v/>
      </c>
      <c r="E865">
        <f>IF(A865="",0,D865*C865/100/(DATE(YEAR(A865)+1,1,1)-DATE(YEAR(A865),1,1)))</f>
        <v/>
      </c>
      <c r="F865">
        <f>IF(A865="",0,SUMIF(Rechner!$A$12:$A$21,A865,Rechner!$B$12:$B$21))</f>
        <v/>
      </c>
      <c r="G865">
        <f>H864+E865</f>
        <v/>
      </c>
      <c r="H865">
        <f>G865-MIN(F865,G865)</f>
        <v/>
      </c>
      <c r="I865">
        <f>MIN(F865-MIN(F865,G865),D865)</f>
        <v/>
      </c>
      <c r="J865">
        <f>D865-I865</f>
        <v/>
      </c>
      <c r="K865">
        <f>F865-MIN(F865,G865)-I865</f>
        <v/>
      </c>
    </row>
    <row r="866">
      <c r="A866" s="21">
        <f>IF(Rechner!$E$4&lt;&gt;"ok","",IF(Rechner!$E$5+864&lt;=Rechner!$B$6,Rechner!$E$5+864,""))</f>
        <v/>
      </c>
      <c r="B866">
        <f>IF(A866="","",LOOKUP(A866,Basiszins!$A$5:$A$18,Basiszins!$B$5:$B$18))</f>
        <v/>
      </c>
      <c r="C866">
        <f>IF(A866="","",B866+Rechner!$E$7)</f>
        <v/>
      </c>
      <c r="D866">
        <f>J865</f>
        <v/>
      </c>
      <c r="E866">
        <f>IF(A866="",0,D866*C866/100/(DATE(YEAR(A866)+1,1,1)-DATE(YEAR(A866),1,1)))</f>
        <v/>
      </c>
      <c r="F866">
        <f>IF(A866="",0,SUMIF(Rechner!$A$12:$A$21,A866,Rechner!$B$12:$B$21))</f>
        <v/>
      </c>
      <c r="G866">
        <f>H865+E866</f>
        <v/>
      </c>
      <c r="H866">
        <f>G866-MIN(F866,G866)</f>
        <v/>
      </c>
      <c r="I866">
        <f>MIN(F866-MIN(F866,G866),D866)</f>
        <v/>
      </c>
      <c r="J866">
        <f>D866-I866</f>
        <v/>
      </c>
      <c r="K866">
        <f>F866-MIN(F866,G866)-I866</f>
        <v/>
      </c>
    </row>
    <row r="867">
      <c r="A867" s="21">
        <f>IF(Rechner!$E$4&lt;&gt;"ok","",IF(Rechner!$E$5+865&lt;=Rechner!$B$6,Rechner!$E$5+865,""))</f>
        <v/>
      </c>
      <c r="B867">
        <f>IF(A867="","",LOOKUP(A867,Basiszins!$A$5:$A$18,Basiszins!$B$5:$B$18))</f>
        <v/>
      </c>
      <c r="C867">
        <f>IF(A867="","",B867+Rechner!$E$7)</f>
        <v/>
      </c>
      <c r="D867">
        <f>J866</f>
        <v/>
      </c>
      <c r="E867">
        <f>IF(A867="",0,D867*C867/100/(DATE(YEAR(A867)+1,1,1)-DATE(YEAR(A867),1,1)))</f>
        <v/>
      </c>
      <c r="F867">
        <f>IF(A867="",0,SUMIF(Rechner!$A$12:$A$21,A867,Rechner!$B$12:$B$21))</f>
        <v/>
      </c>
      <c r="G867">
        <f>H866+E867</f>
        <v/>
      </c>
      <c r="H867">
        <f>G867-MIN(F867,G867)</f>
        <v/>
      </c>
      <c r="I867">
        <f>MIN(F867-MIN(F867,G867),D867)</f>
        <v/>
      </c>
      <c r="J867">
        <f>D867-I867</f>
        <v/>
      </c>
      <c r="K867">
        <f>F867-MIN(F867,G867)-I867</f>
        <v/>
      </c>
    </row>
    <row r="868">
      <c r="A868" s="21">
        <f>IF(Rechner!$E$4&lt;&gt;"ok","",IF(Rechner!$E$5+866&lt;=Rechner!$B$6,Rechner!$E$5+866,""))</f>
        <v/>
      </c>
      <c r="B868">
        <f>IF(A868="","",LOOKUP(A868,Basiszins!$A$5:$A$18,Basiszins!$B$5:$B$18))</f>
        <v/>
      </c>
      <c r="C868">
        <f>IF(A868="","",B868+Rechner!$E$7)</f>
        <v/>
      </c>
      <c r="D868">
        <f>J867</f>
        <v/>
      </c>
      <c r="E868">
        <f>IF(A868="",0,D868*C868/100/(DATE(YEAR(A868)+1,1,1)-DATE(YEAR(A868),1,1)))</f>
        <v/>
      </c>
      <c r="F868">
        <f>IF(A868="",0,SUMIF(Rechner!$A$12:$A$21,A868,Rechner!$B$12:$B$21))</f>
        <v/>
      </c>
      <c r="G868">
        <f>H867+E868</f>
        <v/>
      </c>
      <c r="H868">
        <f>G868-MIN(F868,G868)</f>
        <v/>
      </c>
      <c r="I868">
        <f>MIN(F868-MIN(F868,G868),D868)</f>
        <v/>
      </c>
      <c r="J868">
        <f>D868-I868</f>
        <v/>
      </c>
      <c r="K868">
        <f>F868-MIN(F868,G868)-I868</f>
        <v/>
      </c>
    </row>
    <row r="869">
      <c r="A869" s="21">
        <f>IF(Rechner!$E$4&lt;&gt;"ok","",IF(Rechner!$E$5+867&lt;=Rechner!$B$6,Rechner!$E$5+867,""))</f>
        <v/>
      </c>
      <c r="B869">
        <f>IF(A869="","",LOOKUP(A869,Basiszins!$A$5:$A$18,Basiszins!$B$5:$B$18))</f>
        <v/>
      </c>
      <c r="C869">
        <f>IF(A869="","",B869+Rechner!$E$7)</f>
        <v/>
      </c>
      <c r="D869">
        <f>J868</f>
        <v/>
      </c>
      <c r="E869">
        <f>IF(A869="",0,D869*C869/100/(DATE(YEAR(A869)+1,1,1)-DATE(YEAR(A869),1,1)))</f>
        <v/>
      </c>
      <c r="F869">
        <f>IF(A869="",0,SUMIF(Rechner!$A$12:$A$21,A869,Rechner!$B$12:$B$21))</f>
        <v/>
      </c>
      <c r="G869">
        <f>H868+E869</f>
        <v/>
      </c>
      <c r="H869">
        <f>G869-MIN(F869,G869)</f>
        <v/>
      </c>
      <c r="I869">
        <f>MIN(F869-MIN(F869,G869),D869)</f>
        <v/>
      </c>
      <c r="J869">
        <f>D869-I869</f>
        <v/>
      </c>
      <c r="K869">
        <f>F869-MIN(F869,G869)-I869</f>
        <v/>
      </c>
    </row>
    <row r="870">
      <c r="A870" s="21">
        <f>IF(Rechner!$E$4&lt;&gt;"ok","",IF(Rechner!$E$5+868&lt;=Rechner!$B$6,Rechner!$E$5+868,""))</f>
        <v/>
      </c>
      <c r="B870">
        <f>IF(A870="","",LOOKUP(A870,Basiszins!$A$5:$A$18,Basiszins!$B$5:$B$18))</f>
        <v/>
      </c>
      <c r="C870">
        <f>IF(A870="","",B870+Rechner!$E$7)</f>
        <v/>
      </c>
      <c r="D870">
        <f>J869</f>
        <v/>
      </c>
      <c r="E870">
        <f>IF(A870="",0,D870*C870/100/(DATE(YEAR(A870)+1,1,1)-DATE(YEAR(A870),1,1)))</f>
        <v/>
      </c>
      <c r="F870">
        <f>IF(A870="",0,SUMIF(Rechner!$A$12:$A$21,A870,Rechner!$B$12:$B$21))</f>
        <v/>
      </c>
      <c r="G870">
        <f>H869+E870</f>
        <v/>
      </c>
      <c r="H870">
        <f>G870-MIN(F870,G870)</f>
        <v/>
      </c>
      <c r="I870">
        <f>MIN(F870-MIN(F870,G870),D870)</f>
        <v/>
      </c>
      <c r="J870">
        <f>D870-I870</f>
        <v/>
      </c>
      <c r="K870">
        <f>F870-MIN(F870,G870)-I870</f>
        <v/>
      </c>
    </row>
    <row r="871">
      <c r="A871" s="21">
        <f>IF(Rechner!$E$4&lt;&gt;"ok","",IF(Rechner!$E$5+869&lt;=Rechner!$B$6,Rechner!$E$5+869,""))</f>
        <v/>
      </c>
      <c r="B871">
        <f>IF(A871="","",LOOKUP(A871,Basiszins!$A$5:$A$18,Basiszins!$B$5:$B$18))</f>
        <v/>
      </c>
      <c r="C871">
        <f>IF(A871="","",B871+Rechner!$E$7)</f>
        <v/>
      </c>
      <c r="D871">
        <f>J870</f>
        <v/>
      </c>
      <c r="E871">
        <f>IF(A871="",0,D871*C871/100/(DATE(YEAR(A871)+1,1,1)-DATE(YEAR(A871),1,1)))</f>
        <v/>
      </c>
      <c r="F871">
        <f>IF(A871="",0,SUMIF(Rechner!$A$12:$A$21,A871,Rechner!$B$12:$B$21))</f>
        <v/>
      </c>
      <c r="G871">
        <f>H870+E871</f>
        <v/>
      </c>
      <c r="H871">
        <f>G871-MIN(F871,G871)</f>
        <v/>
      </c>
      <c r="I871">
        <f>MIN(F871-MIN(F871,G871),D871)</f>
        <v/>
      </c>
      <c r="J871">
        <f>D871-I871</f>
        <v/>
      </c>
      <c r="K871">
        <f>F871-MIN(F871,G871)-I871</f>
        <v/>
      </c>
    </row>
    <row r="872">
      <c r="A872" s="21">
        <f>IF(Rechner!$E$4&lt;&gt;"ok","",IF(Rechner!$E$5+870&lt;=Rechner!$B$6,Rechner!$E$5+870,""))</f>
        <v/>
      </c>
      <c r="B872">
        <f>IF(A872="","",LOOKUP(A872,Basiszins!$A$5:$A$18,Basiszins!$B$5:$B$18))</f>
        <v/>
      </c>
      <c r="C872">
        <f>IF(A872="","",B872+Rechner!$E$7)</f>
        <v/>
      </c>
      <c r="D872">
        <f>J871</f>
        <v/>
      </c>
      <c r="E872">
        <f>IF(A872="",0,D872*C872/100/(DATE(YEAR(A872)+1,1,1)-DATE(YEAR(A872),1,1)))</f>
        <v/>
      </c>
      <c r="F872">
        <f>IF(A872="",0,SUMIF(Rechner!$A$12:$A$21,A872,Rechner!$B$12:$B$21))</f>
        <v/>
      </c>
      <c r="G872">
        <f>H871+E872</f>
        <v/>
      </c>
      <c r="H872">
        <f>G872-MIN(F872,G872)</f>
        <v/>
      </c>
      <c r="I872">
        <f>MIN(F872-MIN(F872,G872),D872)</f>
        <v/>
      </c>
      <c r="J872">
        <f>D872-I872</f>
        <v/>
      </c>
      <c r="K872">
        <f>F872-MIN(F872,G872)-I872</f>
        <v/>
      </c>
    </row>
    <row r="873">
      <c r="A873" s="21">
        <f>IF(Rechner!$E$4&lt;&gt;"ok","",IF(Rechner!$E$5+871&lt;=Rechner!$B$6,Rechner!$E$5+871,""))</f>
        <v/>
      </c>
      <c r="B873">
        <f>IF(A873="","",LOOKUP(A873,Basiszins!$A$5:$A$18,Basiszins!$B$5:$B$18))</f>
        <v/>
      </c>
      <c r="C873">
        <f>IF(A873="","",B873+Rechner!$E$7)</f>
        <v/>
      </c>
      <c r="D873">
        <f>J872</f>
        <v/>
      </c>
      <c r="E873">
        <f>IF(A873="",0,D873*C873/100/(DATE(YEAR(A873)+1,1,1)-DATE(YEAR(A873),1,1)))</f>
        <v/>
      </c>
      <c r="F873">
        <f>IF(A873="",0,SUMIF(Rechner!$A$12:$A$21,A873,Rechner!$B$12:$B$21))</f>
        <v/>
      </c>
      <c r="G873">
        <f>H872+E873</f>
        <v/>
      </c>
      <c r="H873">
        <f>G873-MIN(F873,G873)</f>
        <v/>
      </c>
      <c r="I873">
        <f>MIN(F873-MIN(F873,G873),D873)</f>
        <v/>
      </c>
      <c r="J873">
        <f>D873-I873</f>
        <v/>
      </c>
      <c r="K873">
        <f>F873-MIN(F873,G873)-I873</f>
        <v/>
      </c>
    </row>
    <row r="874">
      <c r="A874" s="21">
        <f>IF(Rechner!$E$4&lt;&gt;"ok","",IF(Rechner!$E$5+872&lt;=Rechner!$B$6,Rechner!$E$5+872,""))</f>
        <v/>
      </c>
      <c r="B874">
        <f>IF(A874="","",LOOKUP(A874,Basiszins!$A$5:$A$18,Basiszins!$B$5:$B$18))</f>
        <v/>
      </c>
      <c r="C874">
        <f>IF(A874="","",B874+Rechner!$E$7)</f>
        <v/>
      </c>
      <c r="D874">
        <f>J873</f>
        <v/>
      </c>
      <c r="E874">
        <f>IF(A874="",0,D874*C874/100/(DATE(YEAR(A874)+1,1,1)-DATE(YEAR(A874),1,1)))</f>
        <v/>
      </c>
      <c r="F874">
        <f>IF(A874="",0,SUMIF(Rechner!$A$12:$A$21,A874,Rechner!$B$12:$B$21))</f>
        <v/>
      </c>
      <c r="G874">
        <f>H873+E874</f>
        <v/>
      </c>
      <c r="H874">
        <f>G874-MIN(F874,G874)</f>
        <v/>
      </c>
      <c r="I874">
        <f>MIN(F874-MIN(F874,G874),D874)</f>
        <v/>
      </c>
      <c r="J874">
        <f>D874-I874</f>
        <v/>
      </c>
      <c r="K874">
        <f>F874-MIN(F874,G874)-I874</f>
        <v/>
      </c>
    </row>
    <row r="875">
      <c r="A875" s="21">
        <f>IF(Rechner!$E$4&lt;&gt;"ok","",IF(Rechner!$E$5+873&lt;=Rechner!$B$6,Rechner!$E$5+873,""))</f>
        <v/>
      </c>
      <c r="B875">
        <f>IF(A875="","",LOOKUP(A875,Basiszins!$A$5:$A$18,Basiszins!$B$5:$B$18))</f>
        <v/>
      </c>
      <c r="C875">
        <f>IF(A875="","",B875+Rechner!$E$7)</f>
        <v/>
      </c>
      <c r="D875">
        <f>J874</f>
        <v/>
      </c>
      <c r="E875">
        <f>IF(A875="",0,D875*C875/100/(DATE(YEAR(A875)+1,1,1)-DATE(YEAR(A875),1,1)))</f>
        <v/>
      </c>
      <c r="F875">
        <f>IF(A875="",0,SUMIF(Rechner!$A$12:$A$21,A875,Rechner!$B$12:$B$21))</f>
        <v/>
      </c>
      <c r="G875">
        <f>H874+E875</f>
        <v/>
      </c>
      <c r="H875">
        <f>G875-MIN(F875,G875)</f>
        <v/>
      </c>
      <c r="I875">
        <f>MIN(F875-MIN(F875,G875),D875)</f>
        <v/>
      </c>
      <c r="J875">
        <f>D875-I875</f>
        <v/>
      </c>
      <c r="K875">
        <f>F875-MIN(F875,G875)-I875</f>
        <v/>
      </c>
    </row>
    <row r="876">
      <c r="A876" s="21">
        <f>IF(Rechner!$E$4&lt;&gt;"ok","",IF(Rechner!$E$5+874&lt;=Rechner!$B$6,Rechner!$E$5+874,""))</f>
        <v/>
      </c>
      <c r="B876">
        <f>IF(A876="","",LOOKUP(A876,Basiszins!$A$5:$A$18,Basiszins!$B$5:$B$18))</f>
        <v/>
      </c>
      <c r="C876">
        <f>IF(A876="","",B876+Rechner!$E$7)</f>
        <v/>
      </c>
      <c r="D876">
        <f>J875</f>
        <v/>
      </c>
      <c r="E876">
        <f>IF(A876="",0,D876*C876/100/(DATE(YEAR(A876)+1,1,1)-DATE(YEAR(A876),1,1)))</f>
        <v/>
      </c>
      <c r="F876">
        <f>IF(A876="",0,SUMIF(Rechner!$A$12:$A$21,A876,Rechner!$B$12:$B$21))</f>
        <v/>
      </c>
      <c r="G876">
        <f>H875+E876</f>
        <v/>
      </c>
      <c r="H876">
        <f>G876-MIN(F876,G876)</f>
        <v/>
      </c>
      <c r="I876">
        <f>MIN(F876-MIN(F876,G876),D876)</f>
        <v/>
      </c>
      <c r="J876">
        <f>D876-I876</f>
        <v/>
      </c>
      <c r="K876">
        <f>F876-MIN(F876,G876)-I876</f>
        <v/>
      </c>
    </row>
    <row r="877">
      <c r="A877" s="21">
        <f>IF(Rechner!$E$4&lt;&gt;"ok","",IF(Rechner!$E$5+875&lt;=Rechner!$B$6,Rechner!$E$5+875,""))</f>
        <v/>
      </c>
      <c r="B877">
        <f>IF(A877="","",LOOKUP(A877,Basiszins!$A$5:$A$18,Basiszins!$B$5:$B$18))</f>
        <v/>
      </c>
      <c r="C877">
        <f>IF(A877="","",B877+Rechner!$E$7)</f>
        <v/>
      </c>
      <c r="D877">
        <f>J876</f>
        <v/>
      </c>
      <c r="E877">
        <f>IF(A877="",0,D877*C877/100/(DATE(YEAR(A877)+1,1,1)-DATE(YEAR(A877),1,1)))</f>
        <v/>
      </c>
      <c r="F877">
        <f>IF(A877="",0,SUMIF(Rechner!$A$12:$A$21,A877,Rechner!$B$12:$B$21))</f>
        <v/>
      </c>
      <c r="G877">
        <f>H876+E877</f>
        <v/>
      </c>
      <c r="H877">
        <f>G877-MIN(F877,G877)</f>
        <v/>
      </c>
      <c r="I877">
        <f>MIN(F877-MIN(F877,G877),D877)</f>
        <v/>
      </c>
      <c r="J877">
        <f>D877-I877</f>
        <v/>
      </c>
      <c r="K877">
        <f>F877-MIN(F877,G877)-I877</f>
        <v/>
      </c>
    </row>
    <row r="878">
      <c r="A878" s="21">
        <f>IF(Rechner!$E$4&lt;&gt;"ok","",IF(Rechner!$E$5+876&lt;=Rechner!$B$6,Rechner!$E$5+876,""))</f>
        <v/>
      </c>
      <c r="B878">
        <f>IF(A878="","",LOOKUP(A878,Basiszins!$A$5:$A$18,Basiszins!$B$5:$B$18))</f>
        <v/>
      </c>
      <c r="C878">
        <f>IF(A878="","",B878+Rechner!$E$7)</f>
        <v/>
      </c>
      <c r="D878">
        <f>J877</f>
        <v/>
      </c>
      <c r="E878">
        <f>IF(A878="",0,D878*C878/100/(DATE(YEAR(A878)+1,1,1)-DATE(YEAR(A878),1,1)))</f>
        <v/>
      </c>
      <c r="F878">
        <f>IF(A878="",0,SUMIF(Rechner!$A$12:$A$21,A878,Rechner!$B$12:$B$21))</f>
        <v/>
      </c>
      <c r="G878">
        <f>H877+E878</f>
        <v/>
      </c>
      <c r="H878">
        <f>G878-MIN(F878,G878)</f>
        <v/>
      </c>
      <c r="I878">
        <f>MIN(F878-MIN(F878,G878),D878)</f>
        <v/>
      </c>
      <c r="J878">
        <f>D878-I878</f>
        <v/>
      </c>
      <c r="K878">
        <f>F878-MIN(F878,G878)-I878</f>
        <v/>
      </c>
    </row>
    <row r="879">
      <c r="A879" s="21">
        <f>IF(Rechner!$E$4&lt;&gt;"ok","",IF(Rechner!$E$5+877&lt;=Rechner!$B$6,Rechner!$E$5+877,""))</f>
        <v/>
      </c>
      <c r="B879">
        <f>IF(A879="","",LOOKUP(A879,Basiszins!$A$5:$A$18,Basiszins!$B$5:$B$18))</f>
        <v/>
      </c>
      <c r="C879">
        <f>IF(A879="","",B879+Rechner!$E$7)</f>
        <v/>
      </c>
      <c r="D879">
        <f>J878</f>
        <v/>
      </c>
      <c r="E879">
        <f>IF(A879="",0,D879*C879/100/(DATE(YEAR(A879)+1,1,1)-DATE(YEAR(A879),1,1)))</f>
        <v/>
      </c>
      <c r="F879">
        <f>IF(A879="",0,SUMIF(Rechner!$A$12:$A$21,A879,Rechner!$B$12:$B$21))</f>
        <v/>
      </c>
      <c r="G879">
        <f>H878+E879</f>
        <v/>
      </c>
      <c r="H879">
        <f>G879-MIN(F879,G879)</f>
        <v/>
      </c>
      <c r="I879">
        <f>MIN(F879-MIN(F879,G879),D879)</f>
        <v/>
      </c>
      <c r="J879">
        <f>D879-I879</f>
        <v/>
      </c>
      <c r="K879">
        <f>F879-MIN(F879,G879)-I879</f>
        <v/>
      </c>
    </row>
    <row r="880">
      <c r="A880" s="21">
        <f>IF(Rechner!$E$4&lt;&gt;"ok","",IF(Rechner!$E$5+878&lt;=Rechner!$B$6,Rechner!$E$5+878,""))</f>
        <v/>
      </c>
      <c r="B880">
        <f>IF(A880="","",LOOKUP(A880,Basiszins!$A$5:$A$18,Basiszins!$B$5:$B$18))</f>
        <v/>
      </c>
      <c r="C880">
        <f>IF(A880="","",B880+Rechner!$E$7)</f>
        <v/>
      </c>
      <c r="D880">
        <f>J879</f>
        <v/>
      </c>
      <c r="E880">
        <f>IF(A880="",0,D880*C880/100/(DATE(YEAR(A880)+1,1,1)-DATE(YEAR(A880),1,1)))</f>
        <v/>
      </c>
      <c r="F880">
        <f>IF(A880="",0,SUMIF(Rechner!$A$12:$A$21,A880,Rechner!$B$12:$B$21))</f>
        <v/>
      </c>
      <c r="G880">
        <f>H879+E880</f>
        <v/>
      </c>
      <c r="H880">
        <f>G880-MIN(F880,G880)</f>
        <v/>
      </c>
      <c r="I880">
        <f>MIN(F880-MIN(F880,G880),D880)</f>
        <v/>
      </c>
      <c r="J880">
        <f>D880-I880</f>
        <v/>
      </c>
      <c r="K880">
        <f>F880-MIN(F880,G880)-I880</f>
        <v/>
      </c>
    </row>
    <row r="881">
      <c r="A881" s="21">
        <f>IF(Rechner!$E$4&lt;&gt;"ok","",IF(Rechner!$E$5+879&lt;=Rechner!$B$6,Rechner!$E$5+879,""))</f>
        <v/>
      </c>
      <c r="B881">
        <f>IF(A881="","",LOOKUP(A881,Basiszins!$A$5:$A$18,Basiszins!$B$5:$B$18))</f>
        <v/>
      </c>
      <c r="C881">
        <f>IF(A881="","",B881+Rechner!$E$7)</f>
        <v/>
      </c>
      <c r="D881">
        <f>J880</f>
        <v/>
      </c>
      <c r="E881">
        <f>IF(A881="",0,D881*C881/100/(DATE(YEAR(A881)+1,1,1)-DATE(YEAR(A881),1,1)))</f>
        <v/>
      </c>
      <c r="F881">
        <f>IF(A881="",0,SUMIF(Rechner!$A$12:$A$21,A881,Rechner!$B$12:$B$21))</f>
        <v/>
      </c>
      <c r="G881">
        <f>H880+E881</f>
        <v/>
      </c>
      <c r="H881">
        <f>G881-MIN(F881,G881)</f>
        <v/>
      </c>
      <c r="I881">
        <f>MIN(F881-MIN(F881,G881),D881)</f>
        <v/>
      </c>
      <c r="J881">
        <f>D881-I881</f>
        <v/>
      </c>
      <c r="K881">
        <f>F881-MIN(F881,G881)-I881</f>
        <v/>
      </c>
    </row>
    <row r="882">
      <c r="A882" s="21">
        <f>IF(Rechner!$E$4&lt;&gt;"ok","",IF(Rechner!$E$5+880&lt;=Rechner!$B$6,Rechner!$E$5+880,""))</f>
        <v/>
      </c>
      <c r="B882">
        <f>IF(A882="","",LOOKUP(A882,Basiszins!$A$5:$A$18,Basiszins!$B$5:$B$18))</f>
        <v/>
      </c>
      <c r="C882">
        <f>IF(A882="","",B882+Rechner!$E$7)</f>
        <v/>
      </c>
      <c r="D882">
        <f>J881</f>
        <v/>
      </c>
      <c r="E882">
        <f>IF(A882="",0,D882*C882/100/(DATE(YEAR(A882)+1,1,1)-DATE(YEAR(A882),1,1)))</f>
        <v/>
      </c>
      <c r="F882">
        <f>IF(A882="",0,SUMIF(Rechner!$A$12:$A$21,A882,Rechner!$B$12:$B$21))</f>
        <v/>
      </c>
      <c r="G882">
        <f>H881+E882</f>
        <v/>
      </c>
      <c r="H882">
        <f>G882-MIN(F882,G882)</f>
        <v/>
      </c>
      <c r="I882">
        <f>MIN(F882-MIN(F882,G882),D882)</f>
        <v/>
      </c>
      <c r="J882">
        <f>D882-I882</f>
        <v/>
      </c>
      <c r="K882">
        <f>F882-MIN(F882,G882)-I882</f>
        <v/>
      </c>
    </row>
    <row r="883">
      <c r="A883" s="21">
        <f>IF(Rechner!$E$4&lt;&gt;"ok","",IF(Rechner!$E$5+881&lt;=Rechner!$B$6,Rechner!$E$5+881,""))</f>
        <v/>
      </c>
      <c r="B883">
        <f>IF(A883="","",LOOKUP(A883,Basiszins!$A$5:$A$18,Basiszins!$B$5:$B$18))</f>
        <v/>
      </c>
      <c r="C883">
        <f>IF(A883="","",B883+Rechner!$E$7)</f>
        <v/>
      </c>
      <c r="D883">
        <f>J882</f>
        <v/>
      </c>
      <c r="E883">
        <f>IF(A883="",0,D883*C883/100/(DATE(YEAR(A883)+1,1,1)-DATE(YEAR(A883),1,1)))</f>
        <v/>
      </c>
      <c r="F883">
        <f>IF(A883="",0,SUMIF(Rechner!$A$12:$A$21,A883,Rechner!$B$12:$B$21))</f>
        <v/>
      </c>
      <c r="G883">
        <f>H882+E883</f>
        <v/>
      </c>
      <c r="H883">
        <f>G883-MIN(F883,G883)</f>
        <v/>
      </c>
      <c r="I883">
        <f>MIN(F883-MIN(F883,G883),D883)</f>
        <v/>
      </c>
      <c r="J883">
        <f>D883-I883</f>
        <v/>
      </c>
      <c r="K883">
        <f>F883-MIN(F883,G883)-I883</f>
        <v/>
      </c>
    </row>
    <row r="884">
      <c r="A884" s="21">
        <f>IF(Rechner!$E$4&lt;&gt;"ok","",IF(Rechner!$E$5+882&lt;=Rechner!$B$6,Rechner!$E$5+882,""))</f>
        <v/>
      </c>
      <c r="B884">
        <f>IF(A884="","",LOOKUP(A884,Basiszins!$A$5:$A$18,Basiszins!$B$5:$B$18))</f>
        <v/>
      </c>
      <c r="C884">
        <f>IF(A884="","",B884+Rechner!$E$7)</f>
        <v/>
      </c>
      <c r="D884">
        <f>J883</f>
        <v/>
      </c>
      <c r="E884">
        <f>IF(A884="",0,D884*C884/100/(DATE(YEAR(A884)+1,1,1)-DATE(YEAR(A884),1,1)))</f>
        <v/>
      </c>
      <c r="F884">
        <f>IF(A884="",0,SUMIF(Rechner!$A$12:$A$21,A884,Rechner!$B$12:$B$21))</f>
        <v/>
      </c>
      <c r="G884">
        <f>H883+E884</f>
        <v/>
      </c>
      <c r="H884">
        <f>G884-MIN(F884,G884)</f>
        <v/>
      </c>
      <c r="I884">
        <f>MIN(F884-MIN(F884,G884),D884)</f>
        <v/>
      </c>
      <c r="J884">
        <f>D884-I884</f>
        <v/>
      </c>
      <c r="K884">
        <f>F884-MIN(F884,G884)-I884</f>
        <v/>
      </c>
    </row>
    <row r="885">
      <c r="A885" s="21">
        <f>IF(Rechner!$E$4&lt;&gt;"ok","",IF(Rechner!$E$5+883&lt;=Rechner!$B$6,Rechner!$E$5+883,""))</f>
        <v/>
      </c>
      <c r="B885">
        <f>IF(A885="","",LOOKUP(A885,Basiszins!$A$5:$A$18,Basiszins!$B$5:$B$18))</f>
        <v/>
      </c>
      <c r="C885">
        <f>IF(A885="","",B885+Rechner!$E$7)</f>
        <v/>
      </c>
      <c r="D885">
        <f>J884</f>
        <v/>
      </c>
      <c r="E885">
        <f>IF(A885="",0,D885*C885/100/(DATE(YEAR(A885)+1,1,1)-DATE(YEAR(A885),1,1)))</f>
        <v/>
      </c>
      <c r="F885">
        <f>IF(A885="",0,SUMIF(Rechner!$A$12:$A$21,A885,Rechner!$B$12:$B$21))</f>
        <v/>
      </c>
      <c r="G885">
        <f>H884+E885</f>
        <v/>
      </c>
      <c r="H885">
        <f>G885-MIN(F885,G885)</f>
        <v/>
      </c>
      <c r="I885">
        <f>MIN(F885-MIN(F885,G885),D885)</f>
        <v/>
      </c>
      <c r="J885">
        <f>D885-I885</f>
        <v/>
      </c>
      <c r="K885">
        <f>F885-MIN(F885,G885)-I885</f>
        <v/>
      </c>
    </row>
    <row r="886">
      <c r="A886" s="21">
        <f>IF(Rechner!$E$4&lt;&gt;"ok","",IF(Rechner!$E$5+884&lt;=Rechner!$B$6,Rechner!$E$5+884,""))</f>
        <v/>
      </c>
      <c r="B886">
        <f>IF(A886="","",LOOKUP(A886,Basiszins!$A$5:$A$18,Basiszins!$B$5:$B$18))</f>
        <v/>
      </c>
      <c r="C886">
        <f>IF(A886="","",B886+Rechner!$E$7)</f>
        <v/>
      </c>
      <c r="D886">
        <f>J885</f>
        <v/>
      </c>
      <c r="E886">
        <f>IF(A886="",0,D886*C886/100/(DATE(YEAR(A886)+1,1,1)-DATE(YEAR(A886),1,1)))</f>
        <v/>
      </c>
      <c r="F886">
        <f>IF(A886="",0,SUMIF(Rechner!$A$12:$A$21,A886,Rechner!$B$12:$B$21))</f>
        <v/>
      </c>
      <c r="G886">
        <f>H885+E886</f>
        <v/>
      </c>
      <c r="H886">
        <f>G886-MIN(F886,G886)</f>
        <v/>
      </c>
      <c r="I886">
        <f>MIN(F886-MIN(F886,G886),D886)</f>
        <v/>
      </c>
      <c r="J886">
        <f>D886-I886</f>
        <v/>
      </c>
      <c r="K886">
        <f>F886-MIN(F886,G886)-I886</f>
        <v/>
      </c>
    </row>
    <row r="887">
      <c r="A887" s="21">
        <f>IF(Rechner!$E$4&lt;&gt;"ok","",IF(Rechner!$E$5+885&lt;=Rechner!$B$6,Rechner!$E$5+885,""))</f>
        <v/>
      </c>
      <c r="B887">
        <f>IF(A887="","",LOOKUP(A887,Basiszins!$A$5:$A$18,Basiszins!$B$5:$B$18))</f>
        <v/>
      </c>
      <c r="C887">
        <f>IF(A887="","",B887+Rechner!$E$7)</f>
        <v/>
      </c>
      <c r="D887">
        <f>J886</f>
        <v/>
      </c>
      <c r="E887">
        <f>IF(A887="",0,D887*C887/100/(DATE(YEAR(A887)+1,1,1)-DATE(YEAR(A887),1,1)))</f>
        <v/>
      </c>
      <c r="F887">
        <f>IF(A887="",0,SUMIF(Rechner!$A$12:$A$21,A887,Rechner!$B$12:$B$21))</f>
        <v/>
      </c>
      <c r="G887">
        <f>H886+E887</f>
        <v/>
      </c>
      <c r="H887">
        <f>G887-MIN(F887,G887)</f>
        <v/>
      </c>
      <c r="I887">
        <f>MIN(F887-MIN(F887,G887),D887)</f>
        <v/>
      </c>
      <c r="J887">
        <f>D887-I887</f>
        <v/>
      </c>
      <c r="K887">
        <f>F887-MIN(F887,G887)-I887</f>
        <v/>
      </c>
    </row>
    <row r="888">
      <c r="A888" s="21">
        <f>IF(Rechner!$E$4&lt;&gt;"ok","",IF(Rechner!$E$5+886&lt;=Rechner!$B$6,Rechner!$E$5+886,""))</f>
        <v/>
      </c>
      <c r="B888">
        <f>IF(A888="","",LOOKUP(A888,Basiszins!$A$5:$A$18,Basiszins!$B$5:$B$18))</f>
        <v/>
      </c>
      <c r="C888">
        <f>IF(A888="","",B888+Rechner!$E$7)</f>
        <v/>
      </c>
      <c r="D888">
        <f>J887</f>
        <v/>
      </c>
      <c r="E888">
        <f>IF(A888="",0,D888*C888/100/(DATE(YEAR(A888)+1,1,1)-DATE(YEAR(A888),1,1)))</f>
        <v/>
      </c>
      <c r="F888">
        <f>IF(A888="",0,SUMIF(Rechner!$A$12:$A$21,A888,Rechner!$B$12:$B$21))</f>
        <v/>
      </c>
      <c r="G888">
        <f>H887+E888</f>
        <v/>
      </c>
      <c r="H888">
        <f>G888-MIN(F888,G888)</f>
        <v/>
      </c>
      <c r="I888">
        <f>MIN(F888-MIN(F888,G888),D888)</f>
        <v/>
      </c>
      <c r="J888">
        <f>D888-I888</f>
        <v/>
      </c>
      <c r="K888">
        <f>F888-MIN(F888,G888)-I888</f>
        <v/>
      </c>
    </row>
    <row r="889">
      <c r="A889" s="21">
        <f>IF(Rechner!$E$4&lt;&gt;"ok","",IF(Rechner!$E$5+887&lt;=Rechner!$B$6,Rechner!$E$5+887,""))</f>
        <v/>
      </c>
      <c r="B889">
        <f>IF(A889="","",LOOKUP(A889,Basiszins!$A$5:$A$18,Basiszins!$B$5:$B$18))</f>
        <v/>
      </c>
      <c r="C889">
        <f>IF(A889="","",B889+Rechner!$E$7)</f>
        <v/>
      </c>
      <c r="D889">
        <f>J888</f>
        <v/>
      </c>
      <c r="E889">
        <f>IF(A889="",0,D889*C889/100/(DATE(YEAR(A889)+1,1,1)-DATE(YEAR(A889),1,1)))</f>
        <v/>
      </c>
      <c r="F889">
        <f>IF(A889="",0,SUMIF(Rechner!$A$12:$A$21,A889,Rechner!$B$12:$B$21))</f>
        <v/>
      </c>
      <c r="G889">
        <f>H888+E889</f>
        <v/>
      </c>
      <c r="H889">
        <f>G889-MIN(F889,G889)</f>
        <v/>
      </c>
      <c r="I889">
        <f>MIN(F889-MIN(F889,G889),D889)</f>
        <v/>
      </c>
      <c r="J889">
        <f>D889-I889</f>
        <v/>
      </c>
      <c r="K889">
        <f>F889-MIN(F889,G889)-I889</f>
        <v/>
      </c>
    </row>
    <row r="890">
      <c r="A890" s="21">
        <f>IF(Rechner!$E$4&lt;&gt;"ok","",IF(Rechner!$E$5+888&lt;=Rechner!$B$6,Rechner!$E$5+888,""))</f>
        <v/>
      </c>
      <c r="B890">
        <f>IF(A890="","",LOOKUP(A890,Basiszins!$A$5:$A$18,Basiszins!$B$5:$B$18))</f>
        <v/>
      </c>
      <c r="C890">
        <f>IF(A890="","",B890+Rechner!$E$7)</f>
        <v/>
      </c>
      <c r="D890">
        <f>J889</f>
        <v/>
      </c>
      <c r="E890">
        <f>IF(A890="",0,D890*C890/100/(DATE(YEAR(A890)+1,1,1)-DATE(YEAR(A890),1,1)))</f>
        <v/>
      </c>
      <c r="F890">
        <f>IF(A890="",0,SUMIF(Rechner!$A$12:$A$21,A890,Rechner!$B$12:$B$21))</f>
        <v/>
      </c>
      <c r="G890">
        <f>H889+E890</f>
        <v/>
      </c>
      <c r="H890">
        <f>G890-MIN(F890,G890)</f>
        <v/>
      </c>
      <c r="I890">
        <f>MIN(F890-MIN(F890,G890),D890)</f>
        <v/>
      </c>
      <c r="J890">
        <f>D890-I890</f>
        <v/>
      </c>
      <c r="K890">
        <f>F890-MIN(F890,G890)-I890</f>
        <v/>
      </c>
    </row>
    <row r="891">
      <c r="A891" s="21">
        <f>IF(Rechner!$E$4&lt;&gt;"ok","",IF(Rechner!$E$5+889&lt;=Rechner!$B$6,Rechner!$E$5+889,""))</f>
        <v/>
      </c>
      <c r="B891">
        <f>IF(A891="","",LOOKUP(A891,Basiszins!$A$5:$A$18,Basiszins!$B$5:$B$18))</f>
        <v/>
      </c>
      <c r="C891">
        <f>IF(A891="","",B891+Rechner!$E$7)</f>
        <v/>
      </c>
      <c r="D891">
        <f>J890</f>
        <v/>
      </c>
      <c r="E891">
        <f>IF(A891="",0,D891*C891/100/(DATE(YEAR(A891)+1,1,1)-DATE(YEAR(A891),1,1)))</f>
        <v/>
      </c>
      <c r="F891">
        <f>IF(A891="",0,SUMIF(Rechner!$A$12:$A$21,A891,Rechner!$B$12:$B$21))</f>
        <v/>
      </c>
      <c r="G891">
        <f>H890+E891</f>
        <v/>
      </c>
      <c r="H891">
        <f>G891-MIN(F891,G891)</f>
        <v/>
      </c>
      <c r="I891">
        <f>MIN(F891-MIN(F891,G891),D891)</f>
        <v/>
      </c>
      <c r="J891">
        <f>D891-I891</f>
        <v/>
      </c>
      <c r="K891">
        <f>F891-MIN(F891,G891)-I891</f>
        <v/>
      </c>
    </row>
    <row r="892">
      <c r="A892" s="21">
        <f>IF(Rechner!$E$4&lt;&gt;"ok","",IF(Rechner!$E$5+890&lt;=Rechner!$B$6,Rechner!$E$5+890,""))</f>
        <v/>
      </c>
      <c r="B892">
        <f>IF(A892="","",LOOKUP(A892,Basiszins!$A$5:$A$18,Basiszins!$B$5:$B$18))</f>
        <v/>
      </c>
      <c r="C892">
        <f>IF(A892="","",B892+Rechner!$E$7)</f>
        <v/>
      </c>
      <c r="D892">
        <f>J891</f>
        <v/>
      </c>
      <c r="E892">
        <f>IF(A892="",0,D892*C892/100/(DATE(YEAR(A892)+1,1,1)-DATE(YEAR(A892),1,1)))</f>
        <v/>
      </c>
      <c r="F892">
        <f>IF(A892="",0,SUMIF(Rechner!$A$12:$A$21,A892,Rechner!$B$12:$B$21))</f>
        <v/>
      </c>
      <c r="G892">
        <f>H891+E892</f>
        <v/>
      </c>
      <c r="H892">
        <f>G892-MIN(F892,G892)</f>
        <v/>
      </c>
      <c r="I892">
        <f>MIN(F892-MIN(F892,G892),D892)</f>
        <v/>
      </c>
      <c r="J892">
        <f>D892-I892</f>
        <v/>
      </c>
      <c r="K892">
        <f>F892-MIN(F892,G892)-I892</f>
        <v/>
      </c>
    </row>
    <row r="893">
      <c r="A893" s="21">
        <f>IF(Rechner!$E$4&lt;&gt;"ok","",IF(Rechner!$E$5+891&lt;=Rechner!$B$6,Rechner!$E$5+891,""))</f>
        <v/>
      </c>
      <c r="B893">
        <f>IF(A893="","",LOOKUP(A893,Basiszins!$A$5:$A$18,Basiszins!$B$5:$B$18))</f>
        <v/>
      </c>
      <c r="C893">
        <f>IF(A893="","",B893+Rechner!$E$7)</f>
        <v/>
      </c>
      <c r="D893">
        <f>J892</f>
        <v/>
      </c>
      <c r="E893">
        <f>IF(A893="",0,D893*C893/100/(DATE(YEAR(A893)+1,1,1)-DATE(YEAR(A893),1,1)))</f>
        <v/>
      </c>
      <c r="F893">
        <f>IF(A893="",0,SUMIF(Rechner!$A$12:$A$21,A893,Rechner!$B$12:$B$21))</f>
        <v/>
      </c>
      <c r="G893">
        <f>H892+E893</f>
        <v/>
      </c>
      <c r="H893">
        <f>G893-MIN(F893,G893)</f>
        <v/>
      </c>
      <c r="I893">
        <f>MIN(F893-MIN(F893,G893),D893)</f>
        <v/>
      </c>
      <c r="J893">
        <f>D893-I893</f>
        <v/>
      </c>
      <c r="K893">
        <f>F893-MIN(F893,G893)-I893</f>
        <v/>
      </c>
    </row>
    <row r="894">
      <c r="A894" s="21">
        <f>IF(Rechner!$E$4&lt;&gt;"ok","",IF(Rechner!$E$5+892&lt;=Rechner!$B$6,Rechner!$E$5+892,""))</f>
        <v/>
      </c>
      <c r="B894">
        <f>IF(A894="","",LOOKUP(A894,Basiszins!$A$5:$A$18,Basiszins!$B$5:$B$18))</f>
        <v/>
      </c>
      <c r="C894">
        <f>IF(A894="","",B894+Rechner!$E$7)</f>
        <v/>
      </c>
      <c r="D894">
        <f>J893</f>
        <v/>
      </c>
      <c r="E894">
        <f>IF(A894="",0,D894*C894/100/(DATE(YEAR(A894)+1,1,1)-DATE(YEAR(A894),1,1)))</f>
        <v/>
      </c>
      <c r="F894">
        <f>IF(A894="",0,SUMIF(Rechner!$A$12:$A$21,A894,Rechner!$B$12:$B$21))</f>
        <v/>
      </c>
      <c r="G894">
        <f>H893+E894</f>
        <v/>
      </c>
      <c r="H894">
        <f>G894-MIN(F894,G894)</f>
        <v/>
      </c>
      <c r="I894">
        <f>MIN(F894-MIN(F894,G894),D894)</f>
        <v/>
      </c>
      <c r="J894">
        <f>D894-I894</f>
        <v/>
      </c>
      <c r="K894">
        <f>F894-MIN(F894,G894)-I894</f>
        <v/>
      </c>
    </row>
    <row r="895">
      <c r="A895" s="21">
        <f>IF(Rechner!$E$4&lt;&gt;"ok","",IF(Rechner!$E$5+893&lt;=Rechner!$B$6,Rechner!$E$5+893,""))</f>
        <v/>
      </c>
      <c r="B895">
        <f>IF(A895="","",LOOKUP(A895,Basiszins!$A$5:$A$18,Basiszins!$B$5:$B$18))</f>
        <v/>
      </c>
      <c r="C895">
        <f>IF(A895="","",B895+Rechner!$E$7)</f>
        <v/>
      </c>
      <c r="D895">
        <f>J894</f>
        <v/>
      </c>
      <c r="E895">
        <f>IF(A895="",0,D895*C895/100/(DATE(YEAR(A895)+1,1,1)-DATE(YEAR(A895),1,1)))</f>
        <v/>
      </c>
      <c r="F895">
        <f>IF(A895="",0,SUMIF(Rechner!$A$12:$A$21,A895,Rechner!$B$12:$B$21))</f>
        <v/>
      </c>
      <c r="G895">
        <f>H894+E895</f>
        <v/>
      </c>
      <c r="H895">
        <f>G895-MIN(F895,G895)</f>
        <v/>
      </c>
      <c r="I895">
        <f>MIN(F895-MIN(F895,G895),D895)</f>
        <v/>
      </c>
      <c r="J895">
        <f>D895-I895</f>
        <v/>
      </c>
      <c r="K895">
        <f>F895-MIN(F895,G895)-I895</f>
        <v/>
      </c>
    </row>
    <row r="896">
      <c r="A896" s="21">
        <f>IF(Rechner!$E$4&lt;&gt;"ok","",IF(Rechner!$E$5+894&lt;=Rechner!$B$6,Rechner!$E$5+894,""))</f>
        <v/>
      </c>
      <c r="B896">
        <f>IF(A896="","",LOOKUP(A896,Basiszins!$A$5:$A$18,Basiszins!$B$5:$B$18))</f>
        <v/>
      </c>
      <c r="C896">
        <f>IF(A896="","",B896+Rechner!$E$7)</f>
        <v/>
      </c>
      <c r="D896">
        <f>J895</f>
        <v/>
      </c>
      <c r="E896">
        <f>IF(A896="",0,D896*C896/100/(DATE(YEAR(A896)+1,1,1)-DATE(YEAR(A896),1,1)))</f>
        <v/>
      </c>
      <c r="F896">
        <f>IF(A896="",0,SUMIF(Rechner!$A$12:$A$21,A896,Rechner!$B$12:$B$21))</f>
        <v/>
      </c>
      <c r="G896">
        <f>H895+E896</f>
        <v/>
      </c>
      <c r="H896">
        <f>G896-MIN(F896,G896)</f>
        <v/>
      </c>
      <c r="I896">
        <f>MIN(F896-MIN(F896,G896),D896)</f>
        <v/>
      </c>
      <c r="J896">
        <f>D896-I896</f>
        <v/>
      </c>
      <c r="K896">
        <f>F896-MIN(F896,G896)-I896</f>
        <v/>
      </c>
    </row>
    <row r="897">
      <c r="A897" s="21">
        <f>IF(Rechner!$E$4&lt;&gt;"ok","",IF(Rechner!$E$5+895&lt;=Rechner!$B$6,Rechner!$E$5+895,""))</f>
        <v/>
      </c>
      <c r="B897">
        <f>IF(A897="","",LOOKUP(A897,Basiszins!$A$5:$A$18,Basiszins!$B$5:$B$18))</f>
        <v/>
      </c>
      <c r="C897">
        <f>IF(A897="","",B897+Rechner!$E$7)</f>
        <v/>
      </c>
      <c r="D897">
        <f>J896</f>
        <v/>
      </c>
      <c r="E897">
        <f>IF(A897="",0,D897*C897/100/(DATE(YEAR(A897)+1,1,1)-DATE(YEAR(A897),1,1)))</f>
        <v/>
      </c>
      <c r="F897">
        <f>IF(A897="",0,SUMIF(Rechner!$A$12:$A$21,A897,Rechner!$B$12:$B$21))</f>
        <v/>
      </c>
      <c r="G897">
        <f>H896+E897</f>
        <v/>
      </c>
      <c r="H897">
        <f>G897-MIN(F897,G897)</f>
        <v/>
      </c>
      <c r="I897">
        <f>MIN(F897-MIN(F897,G897),D897)</f>
        <v/>
      </c>
      <c r="J897">
        <f>D897-I897</f>
        <v/>
      </c>
      <c r="K897">
        <f>F897-MIN(F897,G897)-I897</f>
        <v/>
      </c>
    </row>
    <row r="898">
      <c r="A898" s="21">
        <f>IF(Rechner!$E$4&lt;&gt;"ok","",IF(Rechner!$E$5+896&lt;=Rechner!$B$6,Rechner!$E$5+896,""))</f>
        <v/>
      </c>
      <c r="B898">
        <f>IF(A898="","",LOOKUP(A898,Basiszins!$A$5:$A$18,Basiszins!$B$5:$B$18))</f>
        <v/>
      </c>
      <c r="C898">
        <f>IF(A898="","",B898+Rechner!$E$7)</f>
        <v/>
      </c>
      <c r="D898">
        <f>J897</f>
        <v/>
      </c>
      <c r="E898">
        <f>IF(A898="",0,D898*C898/100/(DATE(YEAR(A898)+1,1,1)-DATE(YEAR(A898),1,1)))</f>
        <v/>
      </c>
      <c r="F898">
        <f>IF(A898="",0,SUMIF(Rechner!$A$12:$A$21,A898,Rechner!$B$12:$B$21))</f>
        <v/>
      </c>
      <c r="G898">
        <f>H897+E898</f>
        <v/>
      </c>
      <c r="H898">
        <f>G898-MIN(F898,G898)</f>
        <v/>
      </c>
      <c r="I898">
        <f>MIN(F898-MIN(F898,G898),D898)</f>
        <v/>
      </c>
      <c r="J898">
        <f>D898-I898</f>
        <v/>
      </c>
      <c r="K898">
        <f>F898-MIN(F898,G898)-I898</f>
        <v/>
      </c>
    </row>
    <row r="899">
      <c r="A899" s="21">
        <f>IF(Rechner!$E$4&lt;&gt;"ok","",IF(Rechner!$E$5+897&lt;=Rechner!$B$6,Rechner!$E$5+897,""))</f>
        <v/>
      </c>
      <c r="B899">
        <f>IF(A899="","",LOOKUP(A899,Basiszins!$A$5:$A$18,Basiszins!$B$5:$B$18))</f>
        <v/>
      </c>
      <c r="C899">
        <f>IF(A899="","",B899+Rechner!$E$7)</f>
        <v/>
      </c>
      <c r="D899">
        <f>J898</f>
        <v/>
      </c>
      <c r="E899">
        <f>IF(A899="",0,D899*C899/100/(DATE(YEAR(A899)+1,1,1)-DATE(YEAR(A899),1,1)))</f>
        <v/>
      </c>
      <c r="F899">
        <f>IF(A899="",0,SUMIF(Rechner!$A$12:$A$21,A899,Rechner!$B$12:$B$21))</f>
        <v/>
      </c>
      <c r="G899">
        <f>H898+E899</f>
        <v/>
      </c>
      <c r="H899">
        <f>G899-MIN(F899,G899)</f>
        <v/>
      </c>
      <c r="I899">
        <f>MIN(F899-MIN(F899,G899),D899)</f>
        <v/>
      </c>
      <c r="J899">
        <f>D899-I899</f>
        <v/>
      </c>
      <c r="K899">
        <f>F899-MIN(F899,G899)-I899</f>
        <v/>
      </c>
    </row>
    <row r="900">
      <c r="A900" s="21">
        <f>IF(Rechner!$E$4&lt;&gt;"ok","",IF(Rechner!$E$5+898&lt;=Rechner!$B$6,Rechner!$E$5+898,""))</f>
        <v/>
      </c>
      <c r="B900">
        <f>IF(A900="","",LOOKUP(A900,Basiszins!$A$5:$A$18,Basiszins!$B$5:$B$18))</f>
        <v/>
      </c>
      <c r="C900">
        <f>IF(A900="","",B900+Rechner!$E$7)</f>
        <v/>
      </c>
      <c r="D900">
        <f>J899</f>
        <v/>
      </c>
      <c r="E900">
        <f>IF(A900="",0,D900*C900/100/(DATE(YEAR(A900)+1,1,1)-DATE(YEAR(A900),1,1)))</f>
        <v/>
      </c>
      <c r="F900">
        <f>IF(A900="",0,SUMIF(Rechner!$A$12:$A$21,A900,Rechner!$B$12:$B$21))</f>
        <v/>
      </c>
      <c r="G900">
        <f>H899+E900</f>
        <v/>
      </c>
      <c r="H900">
        <f>G900-MIN(F900,G900)</f>
        <v/>
      </c>
      <c r="I900">
        <f>MIN(F900-MIN(F900,G900),D900)</f>
        <v/>
      </c>
      <c r="J900">
        <f>D900-I900</f>
        <v/>
      </c>
      <c r="K900">
        <f>F900-MIN(F900,G900)-I900</f>
        <v/>
      </c>
    </row>
    <row r="901">
      <c r="A901" s="21">
        <f>IF(Rechner!$E$4&lt;&gt;"ok","",IF(Rechner!$E$5+899&lt;=Rechner!$B$6,Rechner!$E$5+899,""))</f>
        <v/>
      </c>
      <c r="B901">
        <f>IF(A901="","",LOOKUP(A901,Basiszins!$A$5:$A$18,Basiszins!$B$5:$B$18))</f>
        <v/>
      </c>
      <c r="C901">
        <f>IF(A901="","",B901+Rechner!$E$7)</f>
        <v/>
      </c>
      <c r="D901">
        <f>J900</f>
        <v/>
      </c>
      <c r="E901">
        <f>IF(A901="",0,D901*C901/100/(DATE(YEAR(A901)+1,1,1)-DATE(YEAR(A901),1,1)))</f>
        <v/>
      </c>
      <c r="F901">
        <f>IF(A901="",0,SUMIF(Rechner!$A$12:$A$21,A901,Rechner!$B$12:$B$21))</f>
        <v/>
      </c>
      <c r="G901">
        <f>H900+E901</f>
        <v/>
      </c>
      <c r="H901">
        <f>G901-MIN(F901,G901)</f>
        <v/>
      </c>
      <c r="I901">
        <f>MIN(F901-MIN(F901,G901),D901)</f>
        <v/>
      </c>
      <c r="J901">
        <f>D901-I901</f>
        <v/>
      </c>
      <c r="K901">
        <f>F901-MIN(F901,G901)-I901</f>
        <v/>
      </c>
    </row>
    <row r="902">
      <c r="A902" s="21">
        <f>IF(Rechner!$E$4&lt;&gt;"ok","",IF(Rechner!$E$5+900&lt;=Rechner!$B$6,Rechner!$E$5+900,""))</f>
        <v/>
      </c>
      <c r="B902">
        <f>IF(A902="","",LOOKUP(A902,Basiszins!$A$5:$A$18,Basiszins!$B$5:$B$18))</f>
        <v/>
      </c>
      <c r="C902">
        <f>IF(A902="","",B902+Rechner!$E$7)</f>
        <v/>
      </c>
      <c r="D902">
        <f>J901</f>
        <v/>
      </c>
      <c r="E902">
        <f>IF(A902="",0,D902*C902/100/(DATE(YEAR(A902)+1,1,1)-DATE(YEAR(A902),1,1)))</f>
        <v/>
      </c>
      <c r="F902">
        <f>IF(A902="",0,SUMIF(Rechner!$A$12:$A$21,A902,Rechner!$B$12:$B$21))</f>
        <v/>
      </c>
      <c r="G902">
        <f>H901+E902</f>
        <v/>
      </c>
      <c r="H902">
        <f>G902-MIN(F902,G902)</f>
        <v/>
      </c>
      <c r="I902">
        <f>MIN(F902-MIN(F902,G902),D902)</f>
        <v/>
      </c>
      <c r="J902">
        <f>D902-I902</f>
        <v/>
      </c>
      <c r="K902">
        <f>F902-MIN(F902,G902)-I902</f>
        <v/>
      </c>
    </row>
    <row r="903">
      <c r="A903" s="21">
        <f>IF(Rechner!$E$4&lt;&gt;"ok","",IF(Rechner!$E$5+901&lt;=Rechner!$B$6,Rechner!$E$5+901,""))</f>
        <v/>
      </c>
      <c r="B903">
        <f>IF(A903="","",LOOKUP(A903,Basiszins!$A$5:$A$18,Basiszins!$B$5:$B$18))</f>
        <v/>
      </c>
      <c r="C903">
        <f>IF(A903="","",B903+Rechner!$E$7)</f>
        <v/>
      </c>
      <c r="D903">
        <f>J902</f>
        <v/>
      </c>
      <c r="E903">
        <f>IF(A903="",0,D903*C903/100/(DATE(YEAR(A903)+1,1,1)-DATE(YEAR(A903),1,1)))</f>
        <v/>
      </c>
      <c r="F903">
        <f>IF(A903="",0,SUMIF(Rechner!$A$12:$A$21,A903,Rechner!$B$12:$B$21))</f>
        <v/>
      </c>
      <c r="G903">
        <f>H902+E903</f>
        <v/>
      </c>
      <c r="H903">
        <f>G903-MIN(F903,G903)</f>
        <v/>
      </c>
      <c r="I903">
        <f>MIN(F903-MIN(F903,G903),D903)</f>
        <v/>
      </c>
      <c r="J903">
        <f>D903-I903</f>
        <v/>
      </c>
      <c r="K903">
        <f>F903-MIN(F903,G903)-I903</f>
        <v/>
      </c>
    </row>
    <row r="904">
      <c r="A904" s="21">
        <f>IF(Rechner!$E$4&lt;&gt;"ok","",IF(Rechner!$E$5+902&lt;=Rechner!$B$6,Rechner!$E$5+902,""))</f>
        <v/>
      </c>
      <c r="B904">
        <f>IF(A904="","",LOOKUP(A904,Basiszins!$A$5:$A$18,Basiszins!$B$5:$B$18))</f>
        <v/>
      </c>
      <c r="C904">
        <f>IF(A904="","",B904+Rechner!$E$7)</f>
        <v/>
      </c>
      <c r="D904">
        <f>J903</f>
        <v/>
      </c>
      <c r="E904">
        <f>IF(A904="",0,D904*C904/100/(DATE(YEAR(A904)+1,1,1)-DATE(YEAR(A904),1,1)))</f>
        <v/>
      </c>
      <c r="F904">
        <f>IF(A904="",0,SUMIF(Rechner!$A$12:$A$21,A904,Rechner!$B$12:$B$21))</f>
        <v/>
      </c>
      <c r="G904">
        <f>H903+E904</f>
        <v/>
      </c>
      <c r="H904">
        <f>G904-MIN(F904,G904)</f>
        <v/>
      </c>
      <c r="I904">
        <f>MIN(F904-MIN(F904,G904),D904)</f>
        <v/>
      </c>
      <c r="J904">
        <f>D904-I904</f>
        <v/>
      </c>
      <c r="K904">
        <f>F904-MIN(F904,G904)-I904</f>
        <v/>
      </c>
    </row>
    <row r="905">
      <c r="A905" s="21">
        <f>IF(Rechner!$E$4&lt;&gt;"ok","",IF(Rechner!$E$5+903&lt;=Rechner!$B$6,Rechner!$E$5+903,""))</f>
        <v/>
      </c>
      <c r="B905">
        <f>IF(A905="","",LOOKUP(A905,Basiszins!$A$5:$A$18,Basiszins!$B$5:$B$18))</f>
        <v/>
      </c>
      <c r="C905">
        <f>IF(A905="","",B905+Rechner!$E$7)</f>
        <v/>
      </c>
      <c r="D905">
        <f>J904</f>
        <v/>
      </c>
      <c r="E905">
        <f>IF(A905="",0,D905*C905/100/(DATE(YEAR(A905)+1,1,1)-DATE(YEAR(A905),1,1)))</f>
        <v/>
      </c>
      <c r="F905">
        <f>IF(A905="",0,SUMIF(Rechner!$A$12:$A$21,A905,Rechner!$B$12:$B$21))</f>
        <v/>
      </c>
      <c r="G905">
        <f>H904+E905</f>
        <v/>
      </c>
      <c r="H905">
        <f>G905-MIN(F905,G905)</f>
        <v/>
      </c>
      <c r="I905">
        <f>MIN(F905-MIN(F905,G905),D905)</f>
        <v/>
      </c>
      <c r="J905">
        <f>D905-I905</f>
        <v/>
      </c>
      <c r="K905">
        <f>F905-MIN(F905,G905)-I905</f>
        <v/>
      </c>
    </row>
    <row r="906">
      <c r="A906" s="21">
        <f>IF(Rechner!$E$4&lt;&gt;"ok","",IF(Rechner!$E$5+904&lt;=Rechner!$B$6,Rechner!$E$5+904,""))</f>
        <v/>
      </c>
      <c r="B906">
        <f>IF(A906="","",LOOKUP(A906,Basiszins!$A$5:$A$18,Basiszins!$B$5:$B$18))</f>
        <v/>
      </c>
      <c r="C906">
        <f>IF(A906="","",B906+Rechner!$E$7)</f>
        <v/>
      </c>
      <c r="D906">
        <f>J905</f>
        <v/>
      </c>
      <c r="E906">
        <f>IF(A906="",0,D906*C906/100/(DATE(YEAR(A906)+1,1,1)-DATE(YEAR(A906),1,1)))</f>
        <v/>
      </c>
      <c r="F906">
        <f>IF(A906="",0,SUMIF(Rechner!$A$12:$A$21,A906,Rechner!$B$12:$B$21))</f>
        <v/>
      </c>
      <c r="G906">
        <f>H905+E906</f>
        <v/>
      </c>
      <c r="H906">
        <f>G906-MIN(F906,G906)</f>
        <v/>
      </c>
      <c r="I906">
        <f>MIN(F906-MIN(F906,G906),D906)</f>
        <v/>
      </c>
      <c r="J906">
        <f>D906-I906</f>
        <v/>
      </c>
      <c r="K906">
        <f>F906-MIN(F906,G906)-I906</f>
        <v/>
      </c>
    </row>
    <row r="907">
      <c r="A907" s="21">
        <f>IF(Rechner!$E$4&lt;&gt;"ok","",IF(Rechner!$E$5+905&lt;=Rechner!$B$6,Rechner!$E$5+905,""))</f>
        <v/>
      </c>
      <c r="B907">
        <f>IF(A907="","",LOOKUP(A907,Basiszins!$A$5:$A$18,Basiszins!$B$5:$B$18))</f>
        <v/>
      </c>
      <c r="C907">
        <f>IF(A907="","",B907+Rechner!$E$7)</f>
        <v/>
      </c>
      <c r="D907">
        <f>J906</f>
        <v/>
      </c>
      <c r="E907">
        <f>IF(A907="",0,D907*C907/100/(DATE(YEAR(A907)+1,1,1)-DATE(YEAR(A907),1,1)))</f>
        <v/>
      </c>
      <c r="F907">
        <f>IF(A907="",0,SUMIF(Rechner!$A$12:$A$21,A907,Rechner!$B$12:$B$21))</f>
        <v/>
      </c>
      <c r="G907">
        <f>H906+E907</f>
        <v/>
      </c>
      <c r="H907">
        <f>G907-MIN(F907,G907)</f>
        <v/>
      </c>
      <c r="I907">
        <f>MIN(F907-MIN(F907,G907),D907)</f>
        <v/>
      </c>
      <c r="J907">
        <f>D907-I907</f>
        <v/>
      </c>
      <c r="K907">
        <f>F907-MIN(F907,G907)-I907</f>
        <v/>
      </c>
    </row>
    <row r="908">
      <c r="A908" s="21">
        <f>IF(Rechner!$E$4&lt;&gt;"ok","",IF(Rechner!$E$5+906&lt;=Rechner!$B$6,Rechner!$E$5+906,""))</f>
        <v/>
      </c>
      <c r="B908">
        <f>IF(A908="","",LOOKUP(A908,Basiszins!$A$5:$A$18,Basiszins!$B$5:$B$18))</f>
        <v/>
      </c>
      <c r="C908">
        <f>IF(A908="","",B908+Rechner!$E$7)</f>
        <v/>
      </c>
      <c r="D908">
        <f>J907</f>
        <v/>
      </c>
      <c r="E908">
        <f>IF(A908="",0,D908*C908/100/(DATE(YEAR(A908)+1,1,1)-DATE(YEAR(A908),1,1)))</f>
        <v/>
      </c>
      <c r="F908">
        <f>IF(A908="",0,SUMIF(Rechner!$A$12:$A$21,A908,Rechner!$B$12:$B$21))</f>
        <v/>
      </c>
      <c r="G908">
        <f>H907+E908</f>
        <v/>
      </c>
      <c r="H908">
        <f>G908-MIN(F908,G908)</f>
        <v/>
      </c>
      <c r="I908">
        <f>MIN(F908-MIN(F908,G908),D908)</f>
        <v/>
      </c>
      <c r="J908">
        <f>D908-I908</f>
        <v/>
      </c>
      <c r="K908">
        <f>F908-MIN(F908,G908)-I908</f>
        <v/>
      </c>
    </row>
    <row r="909">
      <c r="A909" s="21">
        <f>IF(Rechner!$E$4&lt;&gt;"ok","",IF(Rechner!$E$5+907&lt;=Rechner!$B$6,Rechner!$E$5+907,""))</f>
        <v/>
      </c>
      <c r="B909">
        <f>IF(A909="","",LOOKUP(A909,Basiszins!$A$5:$A$18,Basiszins!$B$5:$B$18))</f>
        <v/>
      </c>
      <c r="C909">
        <f>IF(A909="","",B909+Rechner!$E$7)</f>
        <v/>
      </c>
      <c r="D909">
        <f>J908</f>
        <v/>
      </c>
      <c r="E909">
        <f>IF(A909="",0,D909*C909/100/(DATE(YEAR(A909)+1,1,1)-DATE(YEAR(A909),1,1)))</f>
        <v/>
      </c>
      <c r="F909">
        <f>IF(A909="",0,SUMIF(Rechner!$A$12:$A$21,A909,Rechner!$B$12:$B$21))</f>
        <v/>
      </c>
      <c r="G909">
        <f>H908+E909</f>
        <v/>
      </c>
      <c r="H909">
        <f>G909-MIN(F909,G909)</f>
        <v/>
      </c>
      <c r="I909">
        <f>MIN(F909-MIN(F909,G909),D909)</f>
        <v/>
      </c>
      <c r="J909">
        <f>D909-I909</f>
        <v/>
      </c>
      <c r="K909">
        <f>F909-MIN(F909,G909)-I909</f>
        <v/>
      </c>
    </row>
    <row r="910">
      <c r="A910" s="21">
        <f>IF(Rechner!$E$4&lt;&gt;"ok","",IF(Rechner!$E$5+908&lt;=Rechner!$B$6,Rechner!$E$5+908,""))</f>
        <v/>
      </c>
      <c r="B910">
        <f>IF(A910="","",LOOKUP(A910,Basiszins!$A$5:$A$18,Basiszins!$B$5:$B$18))</f>
        <v/>
      </c>
      <c r="C910">
        <f>IF(A910="","",B910+Rechner!$E$7)</f>
        <v/>
      </c>
      <c r="D910">
        <f>J909</f>
        <v/>
      </c>
      <c r="E910">
        <f>IF(A910="",0,D910*C910/100/(DATE(YEAR(A910)+1,1,1)-DATE(YEAR(A910),1,1)))</f>
        <v/>
      </c>
      <c r="F910">
        <f>IF(A910="",0,SUMIF(Rechner!$A$12:$A$21,A910,Rechner!$B$12:$B$21))</f>
        <v/>
      </c>
      <c r="G910">
        <f>H909+E910</f>
        <v/>
      </c>
      <c r="H910">
        <f>G910-MIN(F910,G910)</f>
        <v/>
      </c>
      <c r="I910">
        <f>MIN(F910-MIN(F910,G910),D910)</f>
        <v/>
      </c>
      <c r="J910">
        <f>D910-I910</f>
        <v/>
      </c>
      <c r="K910">
        <f>F910-MIN(F910,G910)-I910</f>
        <v/>
      </c>
    </row>
    <row r="911">
      <c r="A911" s="21">
        <f>IF(Rechner!$E$4&lt;&gt;"ok","",IF(Rechner!$E$5+909&lt;=Rechner!$B$6,Rechner!$E$5+909,""))</f>
        <v/>
      </c>
      <c r="B911">
        <f>IF(A911="","",LOOKUP(A911,Basiszins!$A$5:$A$18,Basiszins!$B$5:$B$18))</f>
        <v/>
      </c>
      <c r="C911">
        <f>IF(A911="","",B911+Rechner!$E$7)</f>
        <v/>
      </c>
      <c r="D911">
        <f>J910</f>
        <v/>
      </c>
      <c r="E911">
        <f>IF(A911="",0,D911*C911/100/(DATE(YEAR(A911)+1,1,1)-DATE(YEAR(A911),1,1)))</f>
        <v/>
      </c>
      <c r="F911">
        <f>IF(A911="",0,SUMIF(Rechner!$A$12:$A$21,A911,Rechner!$B$12:$B$21))</f>
        <v/>
      </c>
      <c r="G911">
        <f>H910+E911</f>
        <v/>
      </c>
      <c r="H911">
        <f>G911-MIN(F911,G911)</f>
        <v/>
      </c>
      <c r="I911">
        <f>MIN(F911-MIN(F911,G911),D911)</f>
        <v/>
      </c>
      <c r="J911">
        <f>D911-I911</f>
        <v/>
      </c>
      <c r="K911">
        <f>F911-MIN(F911,G911)-I911</f>
        <v/>
      </c>
    </row>
    <row r="912">
      <c r="A912" s="21">
        <f>IF(Rechner!$E$4&lt;&gt;"ok","",IF(Rechner!$E$5+910&lt;=Rechner!$B$6,Rechner!$E$5+910,""))</f>
        <v/>
      </c>
      <c r="B912">
        <f>IF(A912="","",LOOKUP(A912,Basiszins!$A$5:$A$18,Basiszins!$B$5:$B$18))</f>
        <v/>
      </c>
      <c r="C912">
        <f>IF(A912="","",B912+Rechner!$E$7)</f>
        <v/>
      </c>
      <c r="D912">
        <f>J911</f>
        <v/>
      </c>
      <c r="E912">
        <f>IF(A912="",0,D912*C912/100/(DATE(YEAR(A912)+1,1,1)-DATE(YEAR(A912),1,1)))</f>
        <v/>
      </c>
      <c r="F912">
        <f>IF(A912="",0,SUMIF(Rechner!$A$12:$A$21,A912,Rechner!$B$12:$B$21))</f>
        <v/>
      </c>
      <c r="G912">
        <f>H911+E912</f>
        <v/>
      </c>
      <c r="H912">
        <f>G912-MIN(F912,G912)</f>
        <v/>
      </c>
      <c r="I912">
        <f>MIN(F912-MIN(F912,G912),D912)</f>
        <v/>
      </c>
      <c r="J912">
        <f>D912-I912</f>
        <v/>
      </c>
      <c r="K912">
        <f>F912-MIN(F912,G912)-I912</f>
        <v/>
      </c>
    </row>
    <row r="913">
      <c r="A913" s="21">
        <f>IF(Rechner!$E$4&lt;&gt;"ok","",IF(Rechner!$E$5+911&lt;=Rechner!$B$6,Rechner!$E$5+911,""))</f>
        <v/>
      </c>
      <c r="B913">
        <f>IF(A913="","",LOOKUP(A913,Basiszins!$A$5:$A$18,Basiszins!$B$5:$B$18))</f>
        <v/>
      </c>
      <c r="C913">
        <f>IF(A913="","",B913+Rechner!$E$7)</f>
        <v/>
      </c>
      <c r="D913">
        <f>J912</f>
        <v/>
      </c>
      <c r="E913">
        <f>IF(A913="",0,D913*C913/100/(DATE(YEAR(A913)+1,1,1)-DATE(YEAR(A913),1,1)))</f>
        <v/>
      </c>
      <c r="F913">
        <f>IF(A913="",0,SUMIF(Rechner!$A$12:$A$21,A913,Rechner!$B$12:$B$21))</f>
        <v/>
      </c>
      <c r="G913">
        <f>H912+E913</f>
        <v/>
      </c>
      <c r="H913">
        <f>G913-MIN(F913,G913)</f>
        <v/>
      </c>
      <c r="I913">
        <f>MIN(F913-MIN(F913,G913),D913)</f>
        <v/>
      </c>
      <c r="J913">
        <f>D913-I913</f>
        <v/>
      </c>
      <c r="K913">
        <f>F913-MIN(F913,G913)-I913</f>
        <v/>
      </c>
    </row>
    <row r="914">
      <c r="A914" s="21">
        <f>IF(Rechner!$E$4&lt;&gt;"ok","",IF(Rechner!$E$5+912&lt;=Rechner!$B$6,Rechner!$E$5+912,""))</f>
        <v/>
      </c>
      <c r="B914">
        <f>IF(A914="","",LOOKUP(A914,Basiszins!$A$5:$A$18,Basiszins!$B$5:$B$18))</f>
        <v/>
      </c>
      <c r="C914">
        <f>IF(A914="","",B914+Rechner!$E$7)</f>
        <v/>
      </c>
      <c r="D914">
        <f>J913</f>
        <v/>
      </c>
      <c r="E914">
        <f>IF(A914="",0,D914*C914/100/(DATE(YEAR(A914)+1,1,1)-DATE(YEAR(A914),1,1)))</f>
        <v/>
      </c>
      <c r="F914">
        <f>IF(A914="",0,SUMIF(Rechner!$A$12:$A$21,A914,Rechner!$B$12:$B$21))</f>
        <v/>
      </c>
      <c r="G914">
        <f>H913+E914</f>
        <v/>
      </c>
      <c r="H914">
        <f>G914-MIN(F914,G914)</f>
        <v/>
      </c>
      <c r="I914">
        <f>MIN(F914-MIN(F914,G914),D914)</f>
        <v/>
      </c>
      <c r="J914">
        <f>D914-I914</f>
        <v/>
      </c>
      <c r="K914">
        <f>F914-MIN(F914,G914)-I914</f>
        <v/>
      </c>
    </row>
    <row r="915">
      <c r="A915" s="21">
        <f>IF(Rechner!$E$4&lt;&gt;"ok","",IF(Rechner!$E$5+913&lt;=Rechner!$B$6,Rechner!$E$5+913,""))</f>
        <v/>
      </c>
      <c r="B915">
        <f>IF(A915="","",LOOKUP(A915,Basiszins!$A$5:$A$18,Basiszins!$B$5:$B$18))</f>
        <v/>
      </c>
      <c r="C915">
        <f>IF(A915="","",B915+Rechner!$E$7)</f>
        <v/>
      </c>
      <c r="D915">
        <f>J914</f>
        <v/>
      </c>
      <c r="E915">
        <f>IF(A915="",0,D915*C915/100/(DATE(YEAR(A915)+1,1,1)-DATE(YEAR(A915),1,1)))</f>
        <v/>
      </c>
      <c r="F915">
        <f>IF(A915="",0,SUMIF(Rechner!$A$12:$A$21,A915,Rechner!$B$12:$B$21))</f>
        <v/>
      </c>
      <c r="G915">
        <f>H914+E915</f>
        <v/>
      </c>
      <c r="H915">
        <f>G915-MIN(F915,G915)</f>
        <v/>
      </c>
      <c r="I915">
        <f>MIN(F915-MIN(F915,G915),D915)</f>
        <v/>
      </c>
      <c r="J915">
        <f>D915-I915</f>
        <v/>
      </c>
      <c r="K915">
        <f>F915-MIN(F915,G915)-I915</f>
        <v/>
      </c>
    </row>
    <row r="916">
      <c r="A916" s="21">
        <f>IF(Rechner!$E$4&lt;&gt;"ok","",IF(Rechner!$E$5+914&lt;=Rechner!$B$6,Rechner!$E$5+914,""))</f>
        <v/>
      </c>
      <c r="B916">
        <f>IF(A916="","",LOOKUP(A916,Basiszins!$A$5:$A$18,Basiszins!$B$5:$B$18))</f>
        <v/>
      </c>
      <c r="C916">
        <f>IF(A916="","",B916+Rechner!$E$7)</f>
        <v/>
      </c>
      <c r="D916">
        <f>J915</f>
        <v/>
      </c>
      <c r="E916">
        <f>IF(A916="",0,D916*C916/100/(DATE(YEAR(A916)+1,1,1)-DATE(YEAR(A916),1,1)))</f>
        <v/>
      </c>
      <c r="F916">
        <f>IF(A916="",0,SUMIF(Rechner!$A$12:$A$21,A916,Rechner!$B$12:$B$21))</f>
        <v/>
      </c>
      <c r="G916">
        <f>H915+E916</f>
        <v/>
      </c>
      <c r="H916">
        <f>G916-MIN(F916,G916)</f>
        <v/>
      </c>
      <c r="I916">
        <f>MIN(F916-MIN(F916,G916),D916)</f>
        <v/>
      </c>
      <c r="J916">
        <f>D916-I916</f>
        <v/>
      </c>
      <c r="K916">
        <f>F916-MIN(F916,G916)-I916</f>
        <v/>
      </c>
    </row>
    <row r="917">
      <c r="A917" s="21">
        <f>IF(Rechner!$E$4&lt;&gt;"ok","",IF(Rechner!$E$5+915&lt;=Rechner!$B$6,Rechner!$E$5+915,""))</f>
        <v/>
      </c>
      <c r="B917">
        <f>IF(A917="","",LOOKUP(A917,Basiszins!$A$5:$A$18,Basiszins!$B$5:$B$18))</f>
        <v/>
      </c>
      <c r="C917">
        <f>IF(A917="","",B917+Rechner!$E$7)</f>
        <v/>
      </c>
      <c r="D917">
        <f>J916</f>
        <v/>
      </c>
      <c r="E917">
        <f>IF(A917="",0,D917*C917/100/(DATE(YEAR(A917)+1,1,1)-DATE(YEAR(A917),1,1)))</f>
        <v/>
      </c>
      <c r="F917">
        <f>IF(A917="",0,SUMIF(Rechner!$A$12:$A$21,A917,Rechner!$B$12:$B$21))</f>
        <v/>
      </c>
      <c r="G917">
        <f>H916+E917</f>
        <v/>
      </c>
      <c r="H917">
        <f>G917-MIN(F917,G917)</f>
        <v/>
      </c>
      <c r="I917">
        <f>MIN(F917-MIN(F917,G917),D917)</f>
        <v/>
      </c>
      <c r="J917">
        <f>D917-I917</f>
        <v/>
      </c>
      <c r="K917">
        <f>F917-MIN(F917,G917)-I917</f>
        <v/>
      </c>
    </row>
    <row r="918">
      <c r="A918" s="21">
        <f>IF(Rechner!$E$4&lt;&gt;"ok","",IF(Rechner!$E$5+916&lt;=Rechner!$B$6,Rechner!$E$5+916,""))</f>
        <v/>
      </c>
      <c r="B918">
        <f>IF(A918="","",LOOKUP(A918,Basiszins!$A$5:$A$18,Basiszins!$B$5:$B$18))</f>
        <v/>
      </c>
      <c r="C918">
        <f>IF(A918="","",B918+Rechner!$E$7)</f>
        <v/>
      </c>
      <c r="D918">
        <f>J917</f>
        <v/>
      </c>
      <c r="E918">
        <f>IF(A918="",0,D918*C918/100/(DATE(YEAR(A918)+1,1,1)-DATE(YEAR(A918),1,1)))</f>
        <v/>
      </c>
      <c r="F918">
        <f>IF(A918="",0,SUMIF(Rechner!$A$12:$A$21,A918,Rechner!$B$12:$B$21))</f>
        <v/>
      </c>
      <c r="G918">
        <f>H917+E918</f>
        <v/>
      </c>
      <c r="H918">
        <f>G918-MIN(F918,G918)</f>
        <v/>
      </c>
      <c r="I918">
        <f>MIN(F918-MIN(F918,G918),D918)</f>
        <v/>
      </c>
      <c r="J918">
        <f>D918-I918</f>
        <v/>
      </c>
      <c r="K918">
        <f>F918-MIN(F918,G918)-I918</f>
        <v/>
      </c>
    </row>
    <row r="919">
      <c r="A919" s="21">
        <f>IF(Rechner!$E$4&lt;&gt;"ok","",IF(Rechner!$E$5+917&lt;=Rechner!$B$6,Rechner!$E$5+917,""))</f>
        <v/>
      </c>
      <c r="B919">
        <f>IF(A919="","",LOOKUP(A919,Basiszins!$A$5:$A$18,Basiszins!$B$5:$B$18))</f>
        <v/>
      </c>
      <c r="C919">
        <f>IF(A919="","",B919+Rechner!$E$7)</f>
        <v/>
      </c>
      <c r="D919">
        <f>J918</f>
        <v/>
      </c>
      <c r="E919">
        <f>IF(A919="",0,D919*C919/100/(DATE(YEAR(A919)+1,1,1)-DATE(YEAR(A919),1,1)))</f>
        <v/>
      </c>
      <c r="F919">
        <f>IF(A919="",0,SUMIF(Rechner!$A$12:$A$21,A919,Rechner!$B$12:$B$21))</f>
        <v/>
      </c>
      <c r="G919">
        <f>H918+E919</f>
        <v/>
      </c>
      <c r="H919">
        <f>G919-MIN(F919,G919)</f>
        <v/>
      </c>
      <c r="I919">
        <f>MIN(F919-MIN(F919,G919),D919)</f>
        <v/>
      </c>
      <c r="J919">
        <f>D919-I919</f>
        <v/>
      </c>
      <c r="K919">
        <f>F919-MIN(F919,G919)-I919</f>
        <v/>
      </c>
    </row>
    <row r="920">
      <c r="A920" s="21">
        <f>IF(Rechner!$E$4&lt;&gt;"ok","",IF(Rechner!$E$5+918&lt;=Rechner!$B$6,Rechner!$E$5+918,""))</f>
        <v/>
      </c>
      <c r="B920">
        <f>IF(A920="","",LOOKUP(A920,Basiszins!$A$5:$A$18,Basiszins!$B$5:$B$18))</f>
        <v/>
      </c>
      <c r="C920">
        <f>IF(A920="","",B920+Rechner!$E$7)</f>
        <v/>
      </c>
      <c r="D920">
        <f>J919</f>
        <v/>
      </c>
      <c r="E920">
        <f>IF(A920="",0,D920*C920/100/(DATE(YEAR(A920)+1,1,1)-DATE(YEAR(A920),1,1)))</f>
        <v/>
      </c>
      <c r="F920">
        <f>IF(A920="",0,SUMIF(Rechner!$A$12:$A$21,A920,Rechner!$B$12:$B$21))</f>
        <v/>
      </c>
      <c r="G920">
        <f>H919+E920</f>
        <v/>
      </c>
      <c r="H920">
        <f>G920-MIN(F920,G920)</f>
        <v/>
      </c>
      <c r="I920">
        <f>MIN(F920-MIN(F920,G920),D920)</f>
        <v/>
      </c>
      <c r="J920">
        <f>D920-I920</f>
        <v/>
      </c>
      <c r="K920">
        <f>F920-MIN(F920,G920)-I920</f>
        <v/>
      </c>
    </row>
    <row r="921">
      <c r="A921" s="21">
        <f>IF(Rechner!$E$4&lt;&gt;"ok","",IF(Rechner!$E$5+919&lt;=Rechner!$B$6,Rechner!$E$5+919,""))</f>
        <v/>
      </c>
      <c r="B921">
        <f>IF(A921="","",LOOKUP(A921,Basiszins!$A$5:$A$18,Basiszins!$B$5:$B$18))</f>
        <v/>
      </c>
      <c r="C921">
        <f>IF(A921="","",B921+Rechner!$E$7)</f>
        <v/>
      </c>
      <c r="D921">
        <f>J920</f>
        <v/>
      </c>
      <c r="E921">
        <f>IF(A921="",0,D921*C921/100/(DATE(YEAR(A921)+1,1,1)-DATE(YEAR(A921),1,1)))</f>
        <v/>
      </c>
      <c r="F921">
        <f>IF(A921="",0,SUMIF(Rechner!$A$12:$A$21,A921,Rechner!$B$12:$B$21))</f>
        <v/>
      </c>
      <c r="G921">
        <f>H920+E921</f>
        <v/>
      </c>
      <c r="H921">
        <f>G921-MIN(F921,G921)</f>
        <v/>
      </c>
      <c r="I921">
        <f>MIN(F921-MIN(F921,G921),D921)</f>
        <v/>
      </c>
      <c r="J921">
        <f>D921-I921</f>
        <v/>
      </c>
      <c r="K921">
        <f>F921-MIN(F921,G921)-I921</f>
        <v/>
      </c>
    </row>
    <row r="922">
      <c r="A922" s="21">
        <f>IF(Rechner!$E$4&lt;&gt;"ok","",IF(Rechner!$E$5+920&lt;=Rechner!$B$6,Rechner!$E$5+920,""))</f>
        <v/>
      </c>
      <c r="B922">
        <f>IF(A922="","",LOOKUP(A922,Basiszins!$A$5:$A$18,Basiszins!$B$5:$B$18))</f>
        <v/>
      </c>
      <c r="C922">
        <f>IF(A922="","",B922+Rechner!$E$7)</f>
        <v/>
      </c>
      <c r="D922">
        <f>J921</f>
        <v/>
      </c>
      <c r="E922">
        <f>IF(A922="",0,D922*C922/100/(DATE(YEAR(A922)+1,1,1)-DATE(YEAR(A922),1,1)))</f>
        <v/>
      </c>
      <c r="F922">
        <f>IF(A922="",0,SUMIF(Rechner!$A$12:$A$21,A922,Rechner!$B$12:$B$21))</f>
        <v/>
      </c>
      <c r="G922">
        <f>H921+E922</f>
        <v/>
      </c>
      <c r="H922">
        <f>G922-MIN(F922,G922)</f>
        <v/>
      </c>
      <c r="I922">
        <f>MIN(F922-MIN(F922,G922),D922)</f>
        <v/>
      </c>
      <c r="J922">
        <f>D922-I922</f>
        <v/>
      </c>
      <c r="K922">
        <f>F922-MIN(F922,G922)-I922</f>
        <v/>
      </c>
    </row>
    <row r="923">
      <c r="A923" s="21">
        <f>IF(Rechner!$E$4&lt;&gt;"ok","",IF(Rechner!$E$5+921&lt;=Rechner!$B$6,Rechner!$E$5+921,""))</f>
        <v/>
      </c>
      <c r="B923">
        <f>IF(A923="","",LOOKUP(A923,Basiszins!$A$5:$A$18,Basiszins!$B$5:$B$18))</f>
        <v/>
      </c>
      <c r="C923">
        <f>IF(A923="","",B923+Rechner!$E$7)</f>
        <v/>
      </c>
      <c r="D923">
        <f>J922</f>
        <v/>
      </c>
      <c r="E923">
        <f>IF(A923="",0,D923*C923/100/(DATE(YEAR(A923)+1,1,1)-DATE(YEAR(A923),1,1)))</f>
        <v/>
      </c>
      <c r="F923">
        <f>IF(A923="",0,SUMIF(Rechner!$A$12:$A$21,A923,Rechner!$B$12:$B$21))</f>
        <v/>
      </c>
      <c r="G923">
        <f>H922+E923</f>
        <v/>
      </c>
      <c r="H923">
        <f>G923-MIN(F923,G923)</f>
        <v/>
      </c>
      <c r="I923">
        <f>MIN(F923-MIN(F923,G923),D923)</f>
        <v/>
      </c>
      <c r="J923">
        <f>D923-I923</f>
        <v/>
      </c>
      <c r="K923">
        <f>F923-MIN(F923,G923)-I923</f>
        <v/>
      </c>
    </row>
    <row r="924">
      <c r="A924" s="21">
        <f>IF(Rechner!$E$4&lt;&gt;"ok","",IF(Rechner!$E$5+922&lt;=Rechner!$B$6,Rechner!$E$5+922,""))</f>
        <v/>
      </c>
      <c r="B924">
        <f>IF(A924="","",LOOKUP(A924,Basiszins!$A$5:$A$18,Basiszins!$B$5:$B$18))</f>
        <v/>
      </c>
      <c r="C924">
        <f>IF(A924="","",B924+Rechner!$E$7)</f>
        <v/>
      </c>
      <c r="D924">
        <f>J923</f>
        <v/>
      </c>
      <c r="E924">
        <f>IF(A924="",0,D924*C924/100/(DATE(YEAR(A924)+1,1,1)-DATE(YEAR(A924),1,1)))</f>
        <v/>
      </c>
      <c r="F924">
        <f>IF(A924="",0,SUMIF(Rechner!$A$12:$A$21,A924,Rechner!$B$12:$B$21))</f>
        <v/>
      </c>
      <c r="G924">
        <f>H923+E924</f>
        <v/>
      </c>
      <c r="H924">
        <f>G924-MIN(F924,G924)</f>
        <v/>
      </c>
      <c r="I924">
        <f>MIN(F924-MIN(F924,G924),D924)</f>
        <v/>
      </c>
      <c r="J924">
        <f>D924-I924</f>
        <v/>
      </c>
      <c r="K924">
        <f>F924-MIN(F924,G924)-I924</f>
        <v/>
      </c>
    </row>
    <row r="925">
      <c r="A925" s="21">
        <f>IF(Rechner!$E$4&lt;&gt;"ok","",IF(Rechner!$E$5+923&lt;=Rechner!$B$6,Rechner!$E$5+923,""))</f>
        <v/>
      </c>
      <c r="B925">
        <f>IF(A925="","",LOOKUP(A925,Basiszins!$A$5:$A$18,Basiszins!$B$5:$B$18))</f>
        <v/>
      </c>
      <c r="C925">
        <f>IF(A925="","",B925+Rechner!$E$7)</f>
        <v/>
      </c>
      <c r="D925">
        <f>J924</f>
        <v/>
      </c>
      <c r="E925">
        <f>IF(A925="",0,D925*C925/100/(DATE(YEAR(A925)+1,1,1)-DATE(YEAR(A925),1,1)))</f>
        <v/>
      </c>
      <c r="F925">
        <f>IF(A925="",0,SUMIF(Rechner!$A$12:$A$21,A925,Rechner!$B$12:$B$21))</f>
        <v/>
      </c>
      <c r="G925">
        <f>H924+E925</f>
        <v/>
      </c>
      <c r="H925">
        <f>G925-MIN(F925,G925)</f>
        <v/>
      </c>
      <c r="I925">
        <f>MIN(F925-MIN(F925,G925),D925)</f>
        <v/>
      </c>
      <c r="J925">
        <f>D925-I925</f>
        <v/>
      </c>
      <c r="K925">
        <f>F925-MIN(F925,G925)-I925</f>
        <v/>
      </c>
    </row>
    <row r="926">
      <c r="A926" s="21">
        <f>IF(Rechner!$E$4&lt;&gt;"ok","",IF(Rechner!$E$5+924&lt;=Rechner!$B$6,Rechner!$E$5+924,""))</f>
        <v/>
      </c>
      <c r="B926">
        <f>IF(A926="","",LOOKUP(A926,Basiszins!$A$5:$A$18,Basiszins!$B$5:$B$18))</f>
        <v/>
      </c>
      <c r="C926">
        <f>IF(A926="","",B926+Rechner!$E$7)</f>
        <v/>
      </c>
      <c r="D926">
        <f>J925</f>
        <v/>
      </c>
      <c r="E926">
        <f>IF(A926="",0,D926*C926/100/(DATE(YEAR(A926)+1,1,1)-DATE(YEAR(A926),1,1)))</f>
        <v/>
      </c>
      <c r="F926">
        <f>IF(A926="",0,SUMIF(Rechner!$A$12:$A$21,A926,Rechner!$B$12:$B$21))</f>
        <v/>
      </c>
      <c r="G926">
        <f>H925+E926</f>
        <v/>
      </c>
      <c r="H926">
        <f>G926-MIN(F926,G926)</f>
        <v/>
      </c>
      <c r="I926">
        <f>MIN(F926-MIN(F926,G926),D926)</f>
        <v/>
      </c>
      <c r="J926">
        <f>D926-I926</f>
        <v/>
      </c>
      <c r="K926">
        <f>F926-MIN(F926,G926)-I926</f>
        <v/>
      </c>
    </row>
    <row r="927">
      <c r="A927" s="21">
        <f>IF(Rechner!$E$4&lt;&gt;"ok","",IF(Rechner!$E$5+925&lt;=Rechner!$B$6,Rechner!$E$5+925,""))</f>
        <v/>
      </c>
      <c r="B927">
        <f>IF(A927="","",LOOKUP(A927,Basiszins!$A$5:$A$18,Basiszins!$B$5:$B$18))</f>
        <v/>
      </c>
      <c r="C927">
        <f>IF(A927="","",B927+Rechner!$E$7)</f>
        <v/>
      </c>
      <c r="D927">
        <f>J926</f>
        <v/>
      </c>
      <c r="E927">
        <f>IF(A927="",0,D927*C927/100/(DATE(YEAR(A927)+1,1,1)-DATE(YEAR(A927),1,1)))</f>
        <v/>
      </c>
      <c r="F927">
        <f>IF(A927="",0,SUMIF(Rechner!$A$12:$A$21,A927,Rechner!$B$12:$B$21))</f>
        <v/>
      </c>
      <c r="G927">
        <f>H926+E927</f>
        <v/>
      </c>
      <c r="H927">
        <f>G927-MIN(F927,G927)</f>
        <v/>
      </c>
      <c r="I927">
        <f>MIN(F927-MIN(F927,G927),D927)</f>
        <v/>
      </c>
      <c r="J927">
        <f>D927-I927</f>
        <v/>
      </c>
      <c r="K927">
        <f>F927-MIN(F927,G927)-I927</f>
        <v/>
      </c>
    </row>
    <row r="928">
      <c r="A928" s="21">
        <f>IF(Rechner!$E$4&lt;&gt;"ok","",IF(Rechner!$E$5+926&lt;=Rechner!$B$6,Rechner!$E$5+926,""))</f>
        <v/>
      </c>
      <c r="B928">
        <f>IF(A928="","",LOOKUP(A928,Basiszins!$A$5:$A$18,Basiszins!$B$5:$B$18))</f>
        <v/>
      </c>
      <c r="C928">
        <f>IF(A928="","",B928+Rechner!$E$7)</f>
        <v/>
      </c>
      <c r="D928">
        <f>J927</f>
        <v/>
      </c>
      <c r="E928">
        <f>IF(A928="",0,D928*C928/100/(DATE(YEAR(A928)+1,1,1)-DATE(YEAR(A928),1,1)))</f>
        <v/>
      </c>
      <c r="F928">
        <f>IF(A928="",0,SUMIF(Rechner!$A$12:$A$21,A928,Rechner!$B$12:$B$21))</f>
        <v/>
      </c>
      <c r="G928">
        <f>H927+E928</f>
        <v/>
      </c>
      <c r="H928">
        <f>G928-MIN(F928,G928)</f>
        <v/>
      </c>
      <c r="I928">
        <f>MIN(F928-MIN(F928,G928),D928)</f>
        <v/>
      </c>
      <c r="J928">
        <f>D928-I928</f>
        <v/>
      </c>
      <c r="K928">
        <f>F928-MIN(F928,G928)-I928</f>
        <v/>
      </c>
    </row>
    <row r="929">
      <c r="A929" s="21">
        <f>IF(Rechner!$E$4&lt;&gt;"ok","",IF(Rechner!$E$5+927&lt;=Rechner!$B$6,Rechner!$E$5+927,""))</f>
        <v/>
      </c>
      <c r="B929">
        <f>IF(A929="","",LOOKUP(A929,Basiszins!$A$5:$A$18,Basiszins!$B$5:$B$18))</f>
        <v/>
      </c>
      <c r="C929">
        <f>IF(A929="","",B929+Rechner!$E$7)</f>
        <v/>
      </c>
      <c r="D929">
        <f>J928</f>
        <v/>
      </c>
      <c r="E929">
        <f>IF(A929="",0,D929*C929/100/(DATE(YEAR(A929)+1,1,1)-DATE(YEAR(A929),1,1)))</f>
        <v/>
      </c>
      <c r="F929">
        <f>IF(A929="",0,SUMIF(Rechner!$A$12:$A$21,A929,Rechner!$B$12:$B$21))</f>
        <v/>
      </c>
      <c r="G929">
        <f>H928+E929</f>
        <v/>
      </c>
      <c r="H929">
        <f>G929-MIN(F929,G929)</f>
        <v/>
      </c>
      <c r="I929">
        <f>MIN(F929-MIN(F929,G929),D929)</f>
        <v/>
      </c>
      <c r="J929">
        <f>D929-I929</f>
        <v/>
      </c>
      <c r="K929">
        <f>F929-MIN(F929,G929)-I929</f>
        <v/>
      </c>
    </row>
    <row r="930">
      <c r="A930" s="21">
        <f>IF(Rechner!$E$4&lt;&gt;"ok","",IF(Rechner!$E$5+928&lt;=Rechner!$B$6,Rechner!$E$5+928,""))</f>
        <v/>
      </c>
      <c r="B930">
        <f>IF(A930="","",LOOKUP(A930,Basiszins!$A$5:$A$18,Basiszins!$B$5:$B$18))</f>
        <v/>
      </c>
      <c r="C930">
        <f>IF(A930="","",B930+Rechner!$E$7)</f>
        <v/>
      </c>
      <c r="D930">
        <f>J929</f>
        <v/>
      </c>
      <c r="E930">
        <f>IF(A930="",0,D930*C930/100/(DATE(YEAR(A930)+1,1,1)-DATE(YEAR(A930),1,1)))</f>
        <v/>
      </c>
      <c r="F930">
        <f>IF(A930="",0,SUMIF(Rechner!$A$12:$A$21,A930,Rechner!$B$12:$B$21))</f>
        <v/>
      </c>
      <c r="G930">
        <f>H929+E930</f>
        <v/>
      </c>
      <c r="H930">
        <f>G930-MIN(F930,G930)</f>
        <v/>
      </c>
      <c r="I930">
        <f>MIN(F930-MIN(F930,G930),D930)</f>
        <v/>
      </c>
      <c r="J930">
        <f>D930-I930</f>
        <v/>
      </c>
      <c r="K930">
        <f>F930-MIN(F930,G930)-I930</f>
        <v/>
      </c>
    </row>
    <row r="931">
      <c r="A931" s="21">
        <f>IF(Rechner!$E$4&lt;&gt;"ok","",IF(Rechner!$E$5+929&lt;=Rechner!$B$6,Rechner!$E$5+929,""))</f>
        <v/>
      </c>
      <c r="B931">
        <f>IF(A931="","",LOOKUP(A931,Basiszins!$A$5:$A$18,Basiszins!$B$5:$B$18))</f>
        <v/>
      </c>
      <c r="C931">
        <f>IF(A931="","",B931+Rechner!$E$7)</f>
        <v/>
      </c>
      <c r="D931">
        <f>J930</f>
        <v/>
      </c>
      <c r="E931">
        <f>IF(A931="",0,D931*C931/100/(DATE(YEAR(A931)+1,1,1)-DATE(YEAR(A931),1,1)))</f>
        <v/>
      </c>
      <c r="F931">
        <f>IF(A931="",0,SUMIF(Rechner!$A$12:$A$21,A931,Rechner!$B$12:$B$21))</f>
        <v/>
      </c>
      <c r="G931">
        <f>H930+E931</f>
        <v/>
      </c>
      <c r="H931">
        <f>G931-MIN(F931,G931)</f>
        <v/>
      </c>
      <c r="I931">
        <f>MIN(F931-MIN(F931,G931),D931)</f>
        <v/>
      </c>
      <c r="J931">
        <f>D931-I931</f>
        <v/>
      </c>
      <c r="K931">
        <f>F931-MIN(F931,G931)-I931</f>
        <v/>
      </c>
    </row>
    <row r="932">
      <c r="A932" s="21">
        <f>IF(Rechner!$E$4&lt;&gt;"ok","",IF(Rechner!$E$5+930&lt;=Rechner!$B$6,Rechner!$E$5+930,""))</f>
        <v/>
      </c>
      <c r="B932">
        <f>IF(A932="","",LOOKUP(A932,Basiszins!$A$5:$A$18,Basiszins!$B$5:$B$18))</f>
        <v/>
      </c>
      <c r="C932">
        <f>IF(A932="","",B932+Rechner!$E$7)</f>
        <v/>
      </c>
      <c r="D932">
        <f>J931</f>
        <v/>
      </c>
      <c r="E932">
        <f>IF(A932="",0,D932*C932/100/(DATE(YEAR(A932)+1,1,1)-DATE(YEAR(A932),1,1)))</f>
        <v/>
      </c>
      <c r="F932">
        <f>IF(A932="",0,SUMIF(Rechner!$A$12:$A$21,A932,Rechner!$B$12:$B$21))</f>
        <v/>
      </c>
      <c r="G932">
        <f>H931+E932</f>
        <v/>
      </c>
      <c r="H932">
        <f>G932-MIN(F932,G932)</f>
        <v/>
      </c>
      <c r="I932">
        <f>MIN(F932-MIN(F932,G932),D932)</f>
        <v/>
      </c>
      <c r="J932">
        <f>D932-I932</f>
        <v/>
      </c>
      <c r="K932">
        <f>F932-MIN(F932,G932)-I932</f>
        <v/>
      </c>
    </row>
    <row r="933">
      <c r="A933" s="21">
        <f>IF(Rechner!$E$4&lt;&gt;"ok","",IF(Rechner!$E$5+931&lt;=Rechner!$B$6,Rechner!$E$5+931,""))</f>
        <v/>
      </c>
      <c r="B933">
        <f>IF(A933="","",LOOKUP(A933,Basiszins!$A$5:$A$18,Basiszins!$B$5:$B$18))</f>
        <v/>
      </c>
      <c r="C933">
        <f>IF(A933="","",B933+Rechner!$E$7)</f>
        <v/>
      </c>
      <c r="D933">
        <f>J932</f>
        <v/>
      </c>
      <c r="E933">
        <f>IF(A933="",0,D933*C933/100/(DATE(YEAR(A933)+1,1,1)-DATE(YEAR(A933),1,1)))</f>
        <v/>
      </c>
      <c r="F933">
        <f>IF(A933="",0,SUMIF(Rechner!$A$12:$A$21,A933,Rechner!$B$12:$B$21))</f>
        <v/>
      </c>
      <c r="G933">
        <f>H932+E933</f>
        <v/>
      </c>
      <c r="H933">
        <f>G933-MIN(F933,G933)</f>
        <v/>
      </c>
      <c r="I933">
        <f>MIN(F933-MIN(F933,G933),D933)</f>
        <v/>
      </c>
      <c r="J933">
        <f>D933-I933</f>
        <v/>
      </c>
      <c r="K933">
        <f>F933-MIN(F933,G933)-I933</f>
        <v/>
      </c>
    </row>
    <row r="934">
      <c r="A934" s="21">
        <f>IF(Rechner!$E$4&lt;&gt;"ok","",IF(Rechner!$E$5+932&lt;=Rechner!$B$6,Rechner!$E$5+932,""))</f>
        <v/>
      </c>
      <c r="B934">
        <f>IF(A934="","",LOOKUP(A934,Basiszins!$A$5:$A$18,Basiszins!$B$5:$B$18))</f>
        <v/>
      </c>
      <c r="C934">
        <f>IF(A934="","",B934+Rechner!$E$7)</f>
        <v/>
      </c>
      <c r="D934">
        <f>J933</f>
        <v/>
      </c>
      <c r="E934">
        <f>IF(A934="",0,D934*C934/100/(DATE(YEAR(A934)+1,1,1)-DATE(YEAR(A934),1,1)))</f>
        <v/>
      </c>
      <c r="F934">
        <f>IF(A934="",0,SUMIF(Rechner!$A$12:$A$21,A934,Rechner!$B$12:$B$21))</f>
        <v/>
      </c>
      <c r="G934">
        <f>H933+E934</f>
        <v/>
      </c>
      <c r="H934">
        <f>G934-MIN(F934,G934)</f>
        <v/>
      </c>
      <c r="I934">
        <f>MIN(F934-MIN(F934,G934),D934)</f>
        <v/>
      </c>
      <c r="J934">
        <f>D934-I934</f>
        <v/>
      </c>
      <c r="K934">
        <f>F934-MIN(F934,G934)-I934</f>
        <v/>
      </c>
    </row>
    <row r="935">
      <c r="A935" s="21">
        <f>IF(Rechner!$E$4&lt;&gt;"ok","",IF(Rechner!$E$5+933&lt;=Rechner!$B$6,Rechner!$E$5+933,""))</f>
        <v/>
      </c>
      <c r="B935">
        <f>IF(A935="","",LOOKUP(A935,Basiszins!$A$5:$A$18,Basiszins!$B$5:$B$18))</f>
        <v/>
      </c>
      <c r="C935">
        <f>IF(A935="","",B935+Rechner!$E$7)</f>
        <v/>
      </c>
      <c r="D935">
        <f>J934</f>
        <v/>
      </c>
      <c r="E935">
        <f>IF(A935="",0,D935*C935/100/(DATE(YEAR(A935)+1,1,1)-DATE(YEAR(A935),1,1)))</f>
        <v/>
      </c>
      <c r="F935">
        <f>IF(A935="",0,SUMIF(Rechner!$A$12:$A$21,A935,Rechner!$B$12:$B$21))</f>
        <v/>
      </c>
      <c r="G935">
        <f>H934+E935</f>
        <v/>
      </c>
      <c r="H935">
        <f>G935-MIN(F935,G935)</f>
        <v/>
      </c>
      <c r="I935">
        <f>MIN(F935-MIN(F935,G935),D935)</f>
        <v/>
      </c>
      <c r="J935">
        <f>D935-I935</f>
        <v/>
      </c>
      <c r="K935">
        <f>F935-MIN(F935,G935)-I935</f>
        <v/>
      </c>
    </row>
    <row r="936">
      <c r="A936" s="21">
        <f>IF(Rechner!$E$4&lt;&gt;"ok","",IF(Rechner!$E$5+934&lt;=Rechner!$B$6,Rechner!$E$5+934,""))</f>
        <v/>
      </c>
      <c r="B936">
        <f>IF(A936="","",LOOKUP(A936,Basiszins!$A$5:$A$18,Basiszins!$B$5:$B$18))</f>
        <v/>
      </c>
      <c r="C936">
        <f>IF(A936="","",B936+Rechner!$E$7)</f>
        <v/>
      </c>
      <c r="D936">
        <f>J935</f>
        <v/>
      </c>
      <c r="E936">
        <f>IF(A936="",0,D936*C936/100/(DATE(YEAR(A936)+1,1,1)-DATE(YEAR(A936),1,1)))</f>
        <v/>
      </c>
      <c r="F936">
        <f>IF(A936="",0,SUMIF(Rechner!$A$12:$A$21,A936,Rechner!$B$12:$B$21))</f>
        <v/>
      </c>
      <c r="G936">
        <f>H935+E936</f>
        <v/>
      </c>
      <c r="H936">
        <f>G936-MIN(F936,G936)</f>
        <v/>
      </c>
      <c r="I936">
        <f>MIN(F936-MIN(F936,G936),D936)</f>
        <v/>
      </c>
      <c r="J936">
        <f>D936-I936</f>
        <v/>
      </c>
      <c r="K936">
        <f>F936-MIN(F936,G936)-I936</f>
        <v/>
      </c>
    </row>
    <row r="937">
      <c r="A937" s="21">
        <f>IF(Rechner!$E$4&lt;&gt;"ok","",IF(Rechner!$E$5+935&lt;=Rechner!$B$6,Rechner!$E$5+935,""))</f>
        <v/>
      </c>
      <c r="B937">
        <f>IF(A937="","",LOOKUP(A937,Basiszins!$A$5:$A$18,Basiszins!$B$5:$B$18))</f>
        <v/>
      </c>
      <c r="C937">
        <f>IF(A937="","",B937+Rechner!$E$7)</f>
        <v/>
      </c>
      <c r="D937">
        <f>J936</f>
        <v/>
      </c>
      <c r="E937">
        <f>IF(A937="",0,D937*C937/100/(DATE(YEAR(A937)+1,1,1)-DATE(YEAR(A937),1,1)))</f>
        <v/>
      </c>
      <c r="F937">
        <f>IF(A937="",0,SUMIF(Rechner!$A$12:$A$21,A937,Rechner!$B$12:$B$21))</f>
        <v/>
      </c>
      <c r="G937">
        <f>H936+E937</f>
        <v/>
      </c>
      <c r="H937">
        <f>G937-MIN(F937,G937)</f>
        <v/>
      </c>
      <c r="I937">
        <f>MIN(F937-MIN(F937,G937),D937)</f>
        <v/>
      </c>
      <c r="J937">
        <f>D937-I937</f>
        <v/>
      </c>
      <c r="K937">
        <f>F937-MIN(F937,G937)-I937</f>
        <v/>
      </c>
    </row>
    <row r="938">
      <c r="A938" s="21">
        <f>IF(Rechner!$E$4&lt;&gt;"ok","",IF(Rechner!$E$5+936&lt;=Rechner!$B$6,Rechner!$E$5+936,""))</f>
        <v/>
      </c>
      <c r="B938">
        <f>IF(A938="","",LOOKUP(A938,Basiszins!$A$5:$A$18,Basiszins!$B$5:$B$18))</f>
        <v/>
      </c>
      <c r="C938">
        <f>IF(A938="","",B938+Rechner!$E$7)</f>
        <v/>
      </c>
      <c r="D938">
        <f>J937</f>
        <v/>
      </c>
      <c r="E938">
        <f>IF(A938="",0,D938*C938/100/(DATE(YEAR(A938)+1,1,1)-DATE(YEAR(A938),1,1)))</f>
        <v/>
      </c>
      <c r="F938">
        <f>IF(A938="",0,SUMIF(Rechner!$A$12:$A$21,A938,Rechner!$B$12:$B$21))</f>
        <v/>
      </c>
      <c r="G938">
        <f>H937+E938</f>
        <v/>
      </c>
      <c r="H938">
        <f>G938-MIN(F938,G938)</f>
        <v/>
      </c>
      <c r="I938">
        <f>MIN(F938-MIN(F938,G938),D938)</f>
        <v/>
      </c>
      <c r="J938">
        <f>D938-I938</f>
        <v/>
      </c>
      <c r="K938">
        <f>F938-MIN(F938,G938)-I938</f>
        <v/>
      </c>
    </row>
    <row r="939">
      <c r="A939" s="21">
        <f>IF(Rechner!$E$4&lt;&gt;"ok","",IF(Rechner!$E$5+937&lt;=Rechner!$B$6,Rechner!$E$5+937,""))</f>
        <v/>
      </c>
      <c r="B939">
        <f>IF(A939="","",LOOKUP(A939,Basiszins!$A$5:$A$18,Basiszins!$B$5:$B$18))</f>
        <v/>
      </c>
      <c r="C939">
        <f>IF(A939="","",B939+Rechner!$E$7)</f>
        <v/>
      </c>
      <c r="D939">
        <f>J938</f>
        <v/>
      </c>
      <c r="E939">
        <f>IF(A939="",0,D939*C939/100/(DATE(YEAR(A939)+1,1,1)-DATE(YEAR(A939),1,1)))</f>
        <v/>
      </c>
      <c r="F939">
        <f>IF(A939="",0,SUMIF(Rechner!$A$12:$A$21,A939,Rechner!$B$12:$B$21))</f>
        <v/>
      </c>
      <c r="G939">
        <f>H938+E939</f>
        <v/>
      </c>
      <c r="H939">
        <f>G939-MIN(F939,G939)</f>
        <v/>
      </c>
      <c r="I939">
        <f>MIN(F939-MIN(F939,G939),D939)</f>
        <v/>
      </c>
      <c r="J939">
        <f>D939-I939</f>
        <v/>
      </c>
      <c r="K939">
        <f>F939-MIN(F939,G939)-I939</f>
        <v/>
      </c>
    </row>
    <row r="940">
      <c r="A940" s="21">
        <f>IF(Rechner!$E$4&lt;&gt;"ok","",IF(Rechner!$E$5+938&lt;=Rechner!$B$6,Rechner!$E$5+938,""))</f>
        <v/>
      </c>
      <c r="B940">
        <f>IF(A940="","",LOOKUP(A940,Basiszins!$A$5:$A$18,Basiszins!$B$5:$B$18))</f>
        <v/>
      </c>
      <c r="C940">
        <f>IF(A940="","",B940+Rechner!$E$7)</f>
        <v/>
      </c>
      <c r="D940">
        <f>J939</f>
        <v/>
      </c>
      <c r="E940">
        <f>IF(A940="",0,D940*C940/100/(DATE(YEAR(A940)+1,1,1)-DATE(YEAR(A940),1,1)))</f>
        <v/>
      </c>
      <c r="F940">
        <f>IF(A940="",0,SUMIF(Rechner!$A$12:$A$21,A940,Rechner!$B$12:$B$21))</f>
        <v/>
      </c>
      <c r="G940">
        <f>H939+E940</f>
        <v/>
      </c>
      <c r="H940">
        <f>G940-MIN(F940,G940)</f>
        <v/>
      </c>
      <c r="I940">
        <f>MIN(F940-MIN(F940,G940),D940)</f>
        <v/>
      </c>
      <c r="J940">
        <f>D940-I940</f>
        <v/>
      </c>
      <c r="K940">
        <f>F940-MIN(F940,G940)-I940</f>
        <v/>
      </c>
    </row>
    <row r="941">
      <c r="A941" s="21">
        <f>IF(Rechner!$E$4&lt;&gt;"ok","",IF(Rechner!$E$5+939&lt;=Rechner!$B$6,Rechner!$E$5+939,""))</f>
        <v/>
      </c>
      <c r="B941">
        <f>IF(A941="","",LOOKUP(A941,Basiszins!$A$5:$A$18,Basiszins!$B$5:$B$18))</f>
        <v/>
      </c>
      <c r="C941">
        <f>IF(A941="","",B941+Rechner!$E$7)</f>
        <v/>
      </c>
      <c r="D941">
        <f>J940</f>
        <v/>
      </c>
      <c r="E941">
        <f>IF(A941="",0,D941*C941/100/(DATE(YEAR(A941)+1,1,1)-DATE(YEAR(A941),1,1)))</f>
        <v/>
      </c>
      <c r="F941">
        <f>IF(A941="",0,SUMIF(Rechner!$A$12:$A$21,A941,Rechner!$B$12:$B$21))</f>
        <v/>
      </c>
      <c r="G941">
        <f>H940+E941</f>
        <v/>
      </c>
      <c r="H941">
        <f>G941-MIN(F941,G941)</f>
        <v/>
      </c>
      <c r="I941">
        <f>MIN(F941-MIN(F941,G941),D941)</f>
        <v/>
      </c>
      <c r="J941">
        <f>D941-I941</f>
        <v/>
      </c>
      <c r="K941">
        <f>F941-MIN(F941,G941)-I941</f>
        <v/>
      </c>
    </row>
    <row r="942">
      <c r="A942" s="21">
        <f>IF(Rechner!$E$4&lt;&gt;"ok","",IF(Rechner!$E$5+940&lt;=Rechner!$B$6,Rechner!$E$5+940,""))</f>
        <v/>
      </c>
      <c r="B942">
        <f>IF(A942="","",LOOKUP(A942,Basiszins!$A$5:$A$18,Basiszins!$B$5:$B$18))</f>
        <v/>
      </c>
      <c r="C942">
        <f>IF(A942="","",B942+Rechner!$E$7)</f>
        <v/>
      </c>
      <c r="D942">
        <f>J941</f>
        <v/>
      </c>
      <c r="E942">
        <f>IF(A942="",0,D942*C942/100/(DATE(YEAR(A942)+1,1,1)-DATE(YEAR(A942),1,1)))</f>
        <v/>
      </c>
      <c r="F942">
        <f>IF(A942="",0,SUMIF(Rechner!$A$12:$A$21,A942,Rechner!$B$12:$B$21))</f>
        <v/>
      </c>
      <c r="G942">
        <f>H941+E942</f>
        <v/>
      </c>
      <c r="H942">
        <f>G942-MIN(F942,G942)</f>
        <v/>
      </c>
      <c r="I942">
        <f>MIN(F942-MIN(F942,G942),D942)</f>
        <v/>
      </c>
      <c r="J942">
        <f>D942-I942</f>
        <v/>
      </c>
      <c r="K942">
        <f>F942-MIN(F942,G942)-I942</f>
        <v/>
      </c>
    </row>
    <row r="943">
      <c r="A943" s="21">
        <f>IF(Rechner!$E$4&lt;&gt;"ok","",IF(Rechner!$E$5+941&lt;=Rechner!$B$6,Rechner!$E$5+941,""))</f>
        <v/>
      </c>
      <c r="B943">
        <f>IF(A943="","",LOOKUP(A943,Basiszins!$A$5:$A$18,Basiszins!$B$5:$B$18))</f>
        <v/>
      </c>
      <c r="C943">
        <f>IF(A943="","",B943+Rechner!$E$7)</f>
        <v/>
      </c>
      <c r="D943">
        <f>J942</f>
        <v/>
      </c>
      <c r="E943">
        <f>IF(A943="",0,D943*C943/100/(DATE(YEAR(A943)+1,1,1)-DATE(YEAR(A943),1,1)))</f>
        <v/>
      </c>
      <c r="F943">
        <f>IF(A943="",0,SUMIF(Rechner!$A$12:$A$21,A943,Rechner!$B$12:$B$21))</f>
        <v/>
      </c>
      <c r="G943">
        <f>H942+E943</f>
        <v/>
      </c>
      <c r="H943">
        <f>G943-MIN(F943,G943)</f>
        <v/>
      </c>
      <c r="I943">
        <f>MIN(F943-MIN(F943,G943),D943)</f>
        <v/>
      </c>
      <c r="J943">
        <f>D943-I943</f>
        <v/>
      </c>
      <c r="K943">
        <f>F943-MIN(F943,G943)-I943</f>
        <v/>
      </c>
    </row>
    <row r="944">
      <c r="A944" s="21">
        <f>IF(Rechner!$E$4&lt;&gt;"ok","",IF(Rechner!$E$5+942&lt;=Rechner!$B$6,Rechner!$E$5+942,""))</f>
        <v/>
      </c>
      <c r="B944">
        <f>IF(A944="","",LOOKUP(A944,Basiszins!$A$5:$A$18,Basiszins!$B$5:$B$18))</f>
        <v/>
      </c>
      <c r="C944">
        <f>IF(A944="","",B944+Rechner!$E$7)</f>
        <v/>
      </c>
      <c r="D944">
        <f>J943</f>
        <v/>
      </c>
      <c r="E944">
        <f>IF(A944="",0,D944*C944/100/(DATE(YEAR(A944)+1,1,1)-DATE(YEAR(A944),1,1)))</f>
        <v/>
      </c>
      <c r="F944">
        <f>IF(A944="",0,SUMIF(Rechner!$A$12:$A$21,A944,Rechner!$B$12:$B$21))</f>
        <v/>
      </c>
      <c r="G944">
        <f>H943+E944</f>
        <v/>
      </c>
      <c r="H944">
        <f>G944-MIN(F944,G944)</f>
        <v/>
      </c>
      <c r="I944">
        <f>MIN(F944-MIN(F944,G944),D944)</f>
        <v/>
      </c>
      <c r="J944">
        <f>D944-I944</f>
        <v/>
      </c>
      <c r="K944">
        <f>F944-MIN(F944,G944)-I944</f>
        <v/>
      </c>
    </row>
    <row r="945">
      <c r="A945" s="21">
        <f>IF(Rechner!$E$4&lt;&gt;"ok","",IF(Rechner!$E$5+943&lt;=Rechner!$B$6,Rechner!$E$5+943,""))</f>
        <v/>
      </c>
      <c r="B945">
        <f>IF(A945="","",LOOKUP(A945,Basiszins!$A$5:$A$18,Basiszins!$B$5:$B$18))</f>
        <v/>
      </c>
      <c r="C945">
        <f>IF(A945="","",B945+Rechner!$E$7)</f>
        <v/>
      </c>
      <c r="D945">
        <f>J944</f>
        <v/>
      </c>
      <c r="E945">
        <f>IF(A945="",0,D945*C945/100/(DATE(YEAR(A945)+1,1,1)-DATE(YEAR(A945),1,1)))</f>
        <v/>
      </c>
      <c r="F945">
        <f>IF(A945="",0,SUMIF(Rechner!$A$12:$A$21,A945,Rechner!$B$12:$B$21))</f>
        <v/>
      </c>
      <c r="G945">
        <f>H944+E945</f>
        <v/>
      </c>
      <c r="H945">
        <f>G945-MIN(F945,G945)</f>
        <v/>
      </c>
      <c r="I945">
        <f>MIN(F945-MIN(F945,G945),D945)</f>
        <v/>
      </c>
      <c r="J945">
        <f>D945-I945</f>
        <v/>
      </c>
      <c r="K945">
        <f>F945-MIN(F945,G945)-I945</f>
        <v/>
      </c>
    </row>
    <row r="946">
      <c r="A946" s="21">
        <f>IF(Rechner!$E$4&lt;&gt;"ok","",IF(Rechner!$E$5+944&lt;=Rechner!$B$6,Rechner!$E$5+944,""))</f>
        <v/>
      </c>
      <c r="B946">
        <f>IF(A946="","",LOOKUP(A946,Basiszins!$A$5:$A$18,Basiszins!$B$5:$B$18))</f>
        <v/>
      </c>
      <c r="C946">
        <f>IF(A946="","",B946+Rechner!$E$7)</f>
        <v/>
      </c>
      <c r="D946">
        <f>J945</f>
        <v/>
      </c>
      <c r="E946">
        <f>IF(A946="",0,D946*C946/100/(DATE(YEAR(A946)+1,1,1)-DATE(YEAR(A946),1,1)))</f>
        <v/>
      </c>
      <c r="F946">
        <f>IF(A946="",0,SUMIF(Rechner!$A$12:$A$21,A946,Rechner!$B$12:$B$21))</f>
        <v/>
      </c>
      <c r="G946">
        <f>H945+E946</f>
        <v/>
      </c>
      <c r="H946">
        <f>G946-MIN(F946,G946)</f>
        <v/>
      </c>
      <c r="I946">
        <f>MIN(F946-MIN(F946,G946),D946)</f>
        <v/>
      </c>
      <c r="J946">
        <f>D946-I946</f>
        <v/>
      </c>
      <c r="K946">
        <f>F946-MIN(F946,G946)-I946</f>
        <v/>
      </c>
    </row>
    <row r="947">
      <c r="A947" s="21">
        <f>IF(Rechner!$E$4&lt;&gt;"ok","",IF(Rechner!$E$5+945&lt;=Rechner!$B$6,Rechner!$E$5+945,""))</f>
        <v/>
      </c>
      <c r="B947">
        <f>IF(A947="","",LOOKUP(A947,Basiszins!$A$5:$A$18,Basiszins!$B$5:$B$18))</f>
        <v/>
      </c>
      <c r="C947">
        <f>IF(A947="","",B947+Rechner!$E$7)</f>
        <v/>
      </c>
      <c r="D947">
        <f>J946</f>
        <v/>
      </c>
      <c r="E947">
        <f>IF(A947="",0,D947*C947/100/(DATE(YEAR(A947)+1,1,1)-DATE(YEAR(A947),1,1)))</f>
        <v/>
      </c>
      <c r="F947">
        <f>IF(A947="",0,SUMIF(Rechner!$A$12:$A$21,A947,Rechner!$B$12:$B$21))</f>
        <v/>
      </c>
      <c r="G947">
        <f>H946+E947</f>
        <v/>
      </c>
      <c r="H947">
        <f>G947-MIN(F947,G947)</f>
        <v/>
      </c>
      <c r="I947">
        <f>MIN(F947-MIN(F947,G947),D947)</f>
        <v/>
      </c>
      <c r="J947">
        <f>D947-I947</f>
        <v/>
      </c>
      <c r="K947">
        <f>F947-MIN(F947,G947)-I947</f>
        <v/>
      </c>
    </row>
    <row r="948">
      <c r="A948" s="21">
        <f>IF(Rechner!$E$4&lt;&gt;"ok","",IF(Rechner!$E$5+946&lt;=Rechner!$B$6,Rechner!$E$5+946,""))</f>
        <v/>
      </c>
      <c r="B948">
        <f>IF(A948="","",LOOKUP(A948,Basiszins!$A$5:$A$18,Basiszins!$B$5:$B$18))</f>
        <v/>
      </c>
      <c r="C948">
        <f>IF(A948="","",B948+Rechner!$E$7)</f>
        <v/>
      </c>
      <c r="D948">
        <f>J947</f>
        <v/>
      </c>
      <c r="E948">
        <f>IF(A948="",0,D948*C948/100/(DATE(YEAR(A948)+1,1,1)-DATE(YEAR(A948),1,1)))</f>
        <v/>
      </c>
      <c r="F948">
        <f>IF(A948="",0,SUMIF(Rechner!$A$12:$A$21,A948,Rechner!$B$12:$B$21))</f>
        <v/>
      </c>
      <c r="G948">
        <f>H947+E948</f>
        <v/>
      </c>
      <c r="H948">
        <f>G948-MIN(F948,G948)</f>
        <v/>
      </c>
      <c r="I948">
        <f>MIN(F948-MIN(F948,G948),D948)</f>
        <v/>
      </c>
      <c r="J948">
        <f>D948-I948</f>
        <v/>
      </c>
      <c r="K948">
        <f>F948-MIN(F948,G948)-I948</f>
        <v/>
      </c>
    </row>
    <row r="949">
      <c r="A949" s="21">
        <f>IF(Rechner!$E$4&lt;&gt;"ok","",IF(Rechner!$E$5+947&lt;=Rechner!$B$6,Rechner!$E$5+947,""))</f>
        <v/>
      </c>
      <c r="B949">
        <f>IF(A949="","",LOOKUP(A949,Basiszins!$A$5:$A$18,Basiszins!$B$5:$B$18))</f>
        <v/>
      </c>
      <c r="C949">
        <f>IF(A949="","",B949+Rechner!$E$7)</f>
        <v/>
      </c>
      <c r="D949">
        <f>J948</f>
        <v/>
      </c>
      <c r="E949">
        <f>IF(A949="",0,D949*C949/100/(DATE(YEAR(A949)+1,1,1)-DATE(YEAR(A949),1,1)))</f>
        <v/>
      </c>
      <c r="F949">
        <f>IF(A949="",0,SUMIF(Rechner!$A$12:$A$21,A949,Rechner!$B$12:$B$21))</f>
        <v/>
      </c>
      <c r="G949">
        <f>H948+E949</f>
        <v/>
      </c>
      <c r="H949">
        <f>G949-MIN(F949,G949)</f>
        <v/>
      </c>
      <c r="I949">
        <f>MIN(F949-MIN(F949,G949),D949)</f>
        <v/>
      </c>
      <c r="J949">
        <f>D949-I949</f>
        <v/>
      </c>
      <c r="K949">
        <f>F949-MIN(F949,G949)-I949</f>
        <v/>
      </c>
    </row>
    <row r="950">
      <c r="A950" s="21">
        <f>IF(Rechner!$E$4&lt;&gt;"ok","",IF(Rechner!$E$5+948&lt;=Rechner!$B$6,Rechner!$E$5+948,""))</f>
        <v/>
      </c>
      <c r="B950">
        <f>IF(A950="","",LOOKUP(A950,Basiszins!$A$5:$A$18,Basiszins!$B$5:$B$18))</f>
        <v/>
      </c>
      <c r="C950">
        <f>IF(A950="","",B950+Rechner!$E$7)</f>
        <v/>
      </c>
      <c r="D950">
        <f>J949</f>
        <v/>
      </c>
      <c r="E950">
        <f>IF(A950="",0,D950*C950/100/(DATE(YEAR(A950)+1,1,1)-DATE(YEAR(A950),1,1)))</f>
        <v/>
      </c>
      <c r="F950">
        <f>IF(A950="",0,SUMIF(Rechner!$A$12:$A$21,A950,Rechner!$B$12:$B$21))</f>
        <v/>
      </c>
      <c r="G950">
        <f>H949+E950</f>
        <v/>
      </c>
      <c r="H950">
        <f>G950-MIN(F950,G950)</f>
        <v/>
      </c>
      <c r="I950">
        <f>MIN(F950-MIN(F950,G950),D950)</f>
        <v/>
      </c>
      <c r="J950">
        <f>D950-I950</f>
        <v/>
      </c>
      <c r="K950">
        <f>F950-MIN(F950,G950)-I950</f>
        <v/>
      </c>
    </row>
    <row r="951">
      <c r="A951" s="21">
        <f>IF(Rechner!$E$4&lt;&gt;"ok","",IF(Rechner!$E$5+949&lt;=Rechner!$B$6,Rechner!$E$5+949,""))</f>
        <v/>
      </c>
      <c r="B951">
        <f>IF(A951="","",LOOKUP(A951,Basiszins!$A$5:$A$18,Basiszins!$B$5:$B$18))</f>
        <v/>
      </c>
      <c r="C951">
        <f>IF(A951="","",B951+Rechner!$E$7)</f>
        <v/>
      </c>
      <c r="D951">
        <f>J950</f>
        <v/>
      </c>
      <c r="E951">
        <f>IF(A951="",0,D951*C951/100/(DATE(YEAR(A951)+1,1,1)-DATE(YEAR(A951),1,1)))</f>
        <v/>
      </c>
      <c r="F951">
        <f>IF(A951="",0,SUMIF(Rechner!$A$12:$A$21,A951,Rechner!$B$12:$B$21))</f>
        <v/>
      </c>
      <c r="G951">
        <f>H950+E951</f>
        <v/>
      </c>
      <c r="H951">
        <f>G951-MIN(F951,G951)</f>
        <v/>
      </c>
      <c r="I951">
        <f>MIN(F951-MIN(F951,G951),D951)</f>
        <v/>
      </c>
      <c r="J951">
        <f>D951-I951</f>
        <v/>
      </c>
      <c r="K951">
        <f>F951-MIN(F951,G951)-I951</f>
        <v/>
      </c>
    </row>
    <row r="952">
      <c r="A952" s="21">
        <f>IF(Rechner!$E$4&lt;&gt;"ok","",IF(Rechner!$E$5+950&lt;=Rechner!$B$6,Rechner!$E$5+950,""))</f>
        <v/>
      </c>
      <c r="B952">
        <f>IF(A952="","",LOOKUP(A952,Basiszins!$A$5:$A$18,Basiszins!$B$5:$B$18))</f>
        <v/>
      </c>
      <c r="C952">
        <f>IF(A952="","",B952+Rechner!$E$7)</f>
        <v/>
      </c>
      <c r="D952">
        <f>J951</f>
        <v/>
      </c>
      <c r="E952">
        <f>IF(A952="",0,D952*C952/100/(DATE(YEAR(A952)+1,1,1)-DATE(YEAR(A952),1,1)))</f>
        <v/>
      </c>
      <c r="F952">
        <f>IF(A952="",0,SUMIF(Rechner!$A$12:$A$21,A952,Rechner!$B$12:$B$21))</f>
        <v/>
      </c>
      <c r="G952">
        <f>H951+E952</f>
        <v/>
      </c>
      <c r="H952">
        <f>G952-MIN(F952,G952)</f>
        <v/>
      </c>
      <c r="I952">
        <f>MIN(F952-MIN(F952,G952),D952)</f>
        <v/>
      </c>
      <c r="J952">
        <f>D952-I952</f>
        <v/>
      </c>
      <c r="K952">
        <f>F952-MIN(F952,G952)-I952</f>
        <v/>
      </c>
    </row>
    <row r="953">
      <c r="A953" s="21">
        <f>IF(Rechner!$E$4&lt;&gt;"ok","",IF(Rechner!$E$5+951&lt;=Rechner!$B$6,Rechner!$E$5+951,""))</f>
        <v/>
      </c>
      <c r="B953">
        <f>IF(A953="","",LOOKUP(A953,Basiszins!$A$5:$A$18,Basiszins!$B$5:$B$18))</f>
        <v/>
      </c>
      <c r="C953">
        <f>IF(A953="","",B953+Rechner!$E$7)</f>
        <v/>
      </c>
      <c r="D953">
        <f>J952</f>
        <v/>
      </c>
      <c r="E953">
        <f>IF(A953="",0,D953*C953/100/(DATE(YEAR(A953)+1,1,1)-DATE(YEAR(A953),1,1)))</f>
        <v/>
      </c>
      <c r="F953">
        <f>IF(A953="",0,SUMIF(Rechner!$A$12:$A$21,A953,Rechner!$B$12:$B$21))</f>
        <v/>
      </c>
      <c r="G953">
        <f>H952+E953</f>
        <v/>
      </c>
      <c r="H953">
        <f>G953-MIN(F953,G953)</f>
        <v/>
      </c>
      <c r="I953">
        <f>MIN(F953-MIN(F953,G953),D953)</f>
        <v/>
      </c>
      <c r="J953">
        <f>D953-I953</f>
        <v/>
      </c>
      <c r="K953">
        <f>F953-MIN(F953,G953)-I953</f>
        <v/>
      </c>
    </row>
    <row r="954">
      <c r="A954" s="21">
        <f>IF(Rechner!$E$4&lt;&gt;"ok","",IF(Rechner!$E$5+952&lt;=Rechner!$B$6,Rechner!$E$5+952,""))</f>
        <v/>
      </c>
      <c r="B954">
        <f>IF(A954="","",LOOKUP(A954,Basiszins!$A$5:$A$18,Basiszins!$B$5:$B$18))</f>
        <v/>
      </c>
      <c r="C954">
        <f>IF(A954="","",B954+Rechner!$E$7)</f>
        <v/>
      </c>
      <c r="D954">
        <f>J953</f>
        <v/>
      </c>
      <c r="E954">
        <f>IF(A954="",0,D954*C954/100/(DATE(YEAR(A954)+1,1,1)-DATE(YEAR(A954),1,1)))</f>
        <v/>
      </c>
      <c r="F954">
        <f>IF(A954="",0,SUMIF(Rechner!$A$12:$A$21,A954,Rechner!$B$12:$B$21))</f>
        <v/>
      </c>
      <c r="G954">
        <f>H953+E954</f>
        <v/>
      </c>
      <c r="H954">
        <f>G954-MIN(F954,G954)</f>
        <v/>
      </c>
      <c r="I954">
        <f>MIN(F954-MIN(F954,G954),D954)</f>
        <v/>
      </c>
      <c r="J954">
        <f>D954-I954</f>
        <v/>
      </c>
      <c r="K954">
        <f>F954-MIN(F954,G954)-I954</f>
        <v/>
      </c>
    </row>
    <row r="955">
      <c r="A955" s="21">
        <f>IF(Rechner!$E$4&lt;&gt;"ok","",IF(Rechner!$E$5+953&lt;=Rechner!$B$6,Rechner!$E$5+953,""))</f>
        <v/>
      </c>
      <c r="B955">
        <f>IF(A955="","",LOOKUP(A955,Basiszins!$A$5:$A$18,Basiszins!$B$5:$B$18))</f>
        <v/>
      </c>
      <c r="C955">
        <f>IF(A955="","",B955+Rechner!$E$7)</f>
        <v/>
      </c>
      <c r="D955">
        <f>J954</f>
        <v/>
      </c>
      <c r="E955">
        <f>IF(A955="",0,D955*C955/100/(DATE(YEAR(A955)+1,1,1)-DATE(YEAR(A955),1,1)))</f>
        <v/>
      </c>
      <c r="F955">
        <f>IF(A955="",0,SUMIF(Rechner!$A$12:$A$21,A955,Rechner!$B$12:$B$21))</f>
        <v/>
      </c>
      <c r="G955">
        <f>H954+E955</f>
        <v/>
      </c>
      <c r="H955">
        <f>G955-MIN(F955,G955)</f>
        <v/>
      </c>
      <c r="I955">
        <f>MIN(F955-MIN(F955,G955),D955)</f>
        <v/>
      </c>
      <c r="J955">
        <f>D955-I955</f>
        <v/>
      </c>
      <c r="K955">
        <f>F955-MIN(F955,G955)-I955</f>
        <v/>
      </c>
    </row>
    <row r="956">
      <c r="A956" s="21">
        <f>IF(Rechner!$E$4&lt;&gt;"ok","",IF(Rechner!$E$5+954&lt;=Rechner!$B$6,Rechner!$E$5+954,""))</f>
        <v/>
      </c>
      <c r="B956">
        <f>IF(A956="","",LOOKUP(A956,Basiszins!$A$5:$A$18,Basiszins!$B$5:$B$18))</f>
        <v/>
      </c>
      <c r="C956">
        <f>IF(A956="","",B956+Rechner!$E$7)</f>
        <v/>
      </c>
      <c r="D956">
        <f>J955</f>
        <v/>
      </c>
      <c r="E956">
        <f>IF(A956="",0,D956*C956/100/(DATE(YEAR(A956)+1,1,1)-DATE(YEAR(A956),1,1)))</f>
        <v/>
      </c>
      <c r="F956">
        <f>IF(A956="",0,SUMIF(Rechner!$A$12:$A$21,A956,Rechner!$B$12:$B$21))</f>
        <v/>
      </c>
      <c r="G956">
        <f>H955+E956</f>
        <v/>
      </c>
      <c r="H956">
        <f>G956-MIN(F956,G956)</f>
        <v/>
      </c>
      <c r="I956">
        <f>MIN(F956-MIN(F956,G956),D956)</f>
        <v/>
      </c>
      <c r="J956">
        <f>D956-I956</f>
        <v/>
      </c>
      <c r="K956">
        <f>F956-MIN(F956,G956)-I956</f>
        <v/>
      </c>
    </row>
    <row r="957">
      <c r="A957" s="21">
        <f>IF(Rechner!$E$4&lt;&gt;"ok","",IF(Rechner!$E$5+955&lt;=Rechner!$B$6,Rechner!$E$5+955,""))</f>
        <v/>
      </c>
      <c r="B957">
        <f>IF(A957="","",LOOKUP(A957,Basiszins!$A$5:$A$18,Basiszins!$B$5:$B$18))</f>
        <v/>
      </c>
      <c r="C957">
        <f>IF(A957="","",B957+Rechner!$E$7)</f>
        <v/>
      </c>
      <c r="D957">
        <f>J956</f>
        <v/>
      </c>
      <c r="E957">
        <f>IF(A957="",0,D957*C957/100/(DATE(YEAR(A957)+1,1,1)-DATE(YEAR(A957),1,1)))</f>
        <v/>
      </c>
      <c r="F957">
        <f>IF(A957="",0,SUMIF(Rechner!$A$12:$A$21,A957,Rechner!$B$12:$B$21))</f>
        <v/>
      </c>
      <c r="G957">
        <f>H956+E957</f>
        <v/>
      </c>
      <c r="H957">
        <f>G957-MIN(F957,G957)</f>
        <v/>
      </c>
      <c r="I957">
        <f>MIN(F957-MIN(F957,G957),D957)</f>
        <v/>
      </c>
      <c r="J957">
        <f>D957-I957</f>
        <v/>
      </c>
      <c r="K957">
        <f>F957-MIN(F957,G957)-I957</f>
        <v/>
      </c>
    </row>
    <row r="958">
      <c r="A958" s="21">
        <f>IF(Rechner!$E$4&lt;&gt;"ok","",IF(Rechner!$E$5+956&lt;=Rechner!$B$6,Rechner!$E$5+956,""))</f>
        <v/>
      </c>
      <c r="B958">
        <f>IF(A958="","",LOOKUP(A958,Basiszins!$A$5:$A$18,Basiszins!$B$5:$B$18))</f>
        <v/>
      </c>
      <c r="C958">
        <f>IF(A958="","",B958+Rechner!$E$7)</f>
        <v/>
      </c>
      <c r="D958">
        <f>J957</f>
        <v/>
      </c>
      <c r="E958">
        <f>IF(A958="",0,D958*C958/100/(DATE(YEAR(A958)+1,1,1)-DATE(YEAR(A958),1,1)))</f>
        <v/>
      </c>
      <c r="F958">
        <f>IF(A958="",0,SUMIF(Rechner!$A$12:$A$21,A958,Rechner!$B$12:$B$21))</f>
        <v/>
      </c>
      <c r="G958">
        <f>H957+E958</f>
        <v/>
      </c>
      <c r="H958">
        <f>G958-MIN(F958,G958)</f>
        <v/>
      </c>
      <c r="I958">
        <f>MIN(F958-MIN(F958,G958),D958)</f>
        <v/>
      </c>
      <c r="J958">
        <f>D958-I958</f>
        <v/>
      </c>
      <c r="K958">
        <f>F958-MIN(F958,G958)-I958</f>
        <v/>
      </c>
    </row>
    <row r="959">
      <c r="A959" s="21">
        <f>IF(Rechner!$E$4&lt;&gt;"ok","",IF(Rechner!$E$5+957&lt;=Rechner!$B$6,Rechner!$E$5+957,""))</f>
        <v/>
      </c>
      <c r="B959">
        <f>IF(A959="","",LOOKUP(A959,Basiszins!$A$5:$A$18,Basiszins!$B$5:$B$18))</f>
        <v/>
      </c>
      <c r="C959">
        <f>IF(A959="","",B959+Rechner!$E$7)</f>
        <v/>
      </c>
      <c r="D959">
        <f>J958</f>
        <v/>
      </c>
      <c r="E959">
        <f>IF(A959="",0,D959*C959/100/(DATE(YEAR(A959)+1,1,1)-DATE(YEAR(A959),1,1)))</f>
        <v/>
      </c>
      <c r="F959">
        <f>IF(A959="",0,SUMIF(Rechner!$A$12:$A$21,A959,Rechner!$B$12:$B$21))</f>
        <v/>
      </c>
      <c r="G959">
        <f>H958+E959</f>
        <v/>
      </c>
      <c r="H959">
        <f>G959-MIN(F959,G959)</f>
        <v/>
      </c>
      <c r="I959">
        <f>MIN(F959-MIN(F959,G959),D959)</f>
        <v/>
      </c>
      <c r="J959">
        <f>D959-I959</f>
        <v/>
      </c>
      <c r="K959">
        <f>F959-MIN(F959,G959)-I959</f>
        <v/>
      </c>
    </row>
    <row r="960">
      <c r="A960" s="21">
        <f>IF(Rechner!$E$4&lt;&gt;"ok","",IF(Rechner!$E$5+958&lt;=Rechner!$B$6,Rechner!$E$5+958,""))</f>
        <v/>
      </c>
      <c r="B960">
        <f>IF(A960="","",LOOKUP(A960,Basiszins!$A$5:$A$18,Basiszins!$B$5:$B$18))</f>
        <v/>
      </c>
      <c r="C960">
        <f>IF(A960="","",B960+Rechner!$E$7)</f>
        <v/>
      </c>
      <c r="D960">
        <f>J959</f>
        <v/>
      </c>
      <c r="E960">
        <f>IF(A960="",0,D960*C960/100/(DATE(YEAR(A960)+1,1,1)-DATE(YEAR(A960),1,1)))</f>
        <v/>
      </c>
      <c r="F960">
        <f>IF(A960="",0,SUMIF(Rechner!$A$12:$A$21,A960,Rechner!$B$12:$B$21))</f>
        <v/>
      </c>
      <c r="G960">
        <f>H959+E960</f>
        <v/>
      </c>
      <c r="H960">
        <f>G960-MIN(F960,G960)</f>
        <v/>
      </c>
      <c r="I960">
        <f>MIN(F960-MIN(F960,G960),D960)</f>
        <v/>
      </c>
      <c r="J960">
        <f>D960-I960</f>
        <v/>
      </c>
      <c r="K960">
        <f>F960-MIN(F960,G960)-I960</f>
        <v/>
      </c>
    </row>
    <row r="961">
      <c r="A961" s="21">
        <f>IF(Rechner!$E$4&lt;&gt;"ok","",IF(Rechner!$E$5+959&lt;=Rechner!$B$6,Rechner!$E$5+959,""))</f>
        <v/>
      </c>
      <c r="B961">
        <f>IF(A961="","",LOOKUP(A961,Basiszins!$A$5:$A$18,Basiszins!$B$5:$B$18))</f>
        <v/>
      </c>
      <c r="C961">
        <f>IF(A961="","",B961+Rechner!$E$7)</f>
        <v/>
      </c>
      <c r="D961">
        <f>J960</f>
        <v/>
      </c>
      <c r="E961">
        <f>IF(A961="",0,D961*C961/100/(DATE(YEAR(A961)+1,1,1)-DATE(YEAR(A961),1,1)))</f>
        <v/>
      </c>
      <c r="F961">
        <f>IF(A961="",0,SUMIF(Rechner!$A$12:$A$21,A961,Rechner!$B$12:$B$21))</f>
        <v/>
      </c>
      <c r="G961">
        <f>H960+E961</f>
        <v/>
      </c>
      <c r="H961">
        <f>G961-MIN(F961,G961)</f>
        <v/>
      </c>
      <c r="I961">
        <f>MIN(F961-MIN(F961,G961),D961)</f>
        <v/>
      </c>
      <c r="J961">
        <f>D961-I961</f>
        <v/>
      </c>
      <c r="K961">
        <f>F961-MIN(F961,G961)-I961</f>
        <v/>
      </c>
    </row>
    <row r="962">
      <c r="A962" s="21">
        <f>IF(Rechner!$E$4&lt;&gt;"ok","",IF(Rechner!$E$5+960&lt;=Rechner!$B$6,Rechner!$E$5+960,""))</f>
        <v/>
      </c>
      <c r="B962">
        <f>IF(A962="","",LOOKUP(A962,Basiszins!$A$5:$A$18,Basiszins!$B$5:$B$18))</f>
        <v/>
      </c>
      <c r="C962">
        <f>IF(A962="","",B962+Rechner!$E$7)</f>
        <v/>
      </c>
      <c r="D962">
        <f>J961</f>
        <v/>
      </c>
      <c r="E962">
        <f>IF(A962="",0,D962*C962/100/(DATE(YEAR(A962)+1,1,1)-DATE(YEAR(A962),1,1)))</f>
        <v/>
      </c>
      <c r="F962">
        <f>IF(A962="",0,SUMIF(Rechner!$A$12:$A$21,A962,Rechner!$B$12:$B$21))</f>
        <v/>
      </c>
      <c r="G962">
        <f>H961+E962</f>
        <v/>
      </c>
      <c r="H962">
        <f>G962-MIN(F962,G962)</f>
        <v/>
      </c>
      <c r="I962">
        <f>MIN(F962-MIN(F962,G962),D962)</f>
        <v/>
      </c>
      <c r="J962">
        <f>D962-I962</f>
        <v/>
      </c>
      <c r="K962">
        <f>F962-MIN(F962,G962)-I962</f>
        <v/>
      </c>
    </row>
    <row r="963">
      <c r="A963" s="21">
        <f>IF(Rechner!$E$4&lt;&gt;"ok","",IF(Rechner!$E$5+961&lt;=Rechner!$B$6,Rechner!$E$5+961,""))</f>
        <v/>
      </c>
      <c r="B963">
        <f>IF(A963="","",LOOKUP(A963,Basiszins!$A$5:$A$18,Basiszins!$B$5:$B$18))</f>
        <v/>
      </c>
      <c r="C963">
        <f>IF(A963="","",B963+Rechner!$E$7)</f>
        <v/>
      </c>
      <c r="D963">
        <f>J962</f>
        <v/>
      </c>
      <c r="E963">
        <f>IF(A963="",0,D963*C963/100/(DATE(YEAR(A963)+1,1,1)-DATE(YEAR(A963),1,1)))</f>
        <v/>
      </c>
      <c r="F963">
        <f>IF(A963="",0,SUMIF(Rechner!$A$12:$A$21,A963,Rechner!$B$12:$B$21))</f>
        <v/>
      </c>
      <c r="G963">
        <f>H962+E963</f>
        <v/>
      </c>
      <c r="H963">
        <f>G963-MIN(F963,G963)</f>
        <v/>
      </c>
      <c r="I963">
        <f>MIN(F963-MIN(F963,G963),D963)</f>
        <v/>
      </c>
      <c r="J963">
        <f>D963-I963</f>
        <v/>
      </c>
      <c r="K963">
        <f>F963-MIN(F963,G963)-I963</f>
        <v/>
      </c>
    </row>
    <row r="964">
      <c r="A964" s="21">
        <f>IF(Rechner!$E$4&lt;&gt;"ok","",IF(Rechner!$E$5+962&lt;=Rechner!$B$6,Rechner!$E$5+962,""))</f>
        <v/>
      </c>
      <c r="B964">
        <f>IF(A964="","",LOOKUP(A964,Basiszins!$A$5:$A$18,Basiszins!$B$5:$B$18))</f>
        <v/>
      </c>
      <c r="C964">
        <f>IF(A964="","",B964+Rechner!$E$7)</f>
        <v/>
      </c>
      <c r="D964">
        <f>J963</f>
        <v/>
      </c>
      <c r="E964">
        <f>IF(A964="",0,D964*C964/100/(DATE(YEAR(A964)+1,1,1)-DATE(YEAR(A964),1,1)))</f>
        <v/>
      </c>
      <c r="F964">
        <f>IF(A964="",0,SUMIF(Rechner!$A$12:$A$21,A964,Rechner!$B$12:$B$21))</f>
        <v/>
      </c>
      <c r="G964">
        <f>H963+E964</f>
        <v/>
      </c>
      <c r="H964">
        <f>G964-MIN(F964,G964)</f>
        <v/>
      </c>
      <c r="I964">
        <f>MIN(F964-MIN(F964,G964),D964)</f>
        <v/>
      </c>
      <c r="J964">
        <f>D964-I964</f>
        <v/>
      </c>
      <c r="K964">
        <f>F964-MIN(F964,G964)-I964</f>
        <v/>
      </c>
    </row>
    <row r="965">
      <c r="A965" s="21">
        <f>IF(Rechner!$E$4&lt;&gt;"ok","",IF(Rechner!$E$5+963&lt;=Rechner!$B$6,Rechner!$E$5+963,""))</f>
        <v/>
      </c>
      <c r="B965">
        <f>IF(A965="","",LOOKUP(A965,Basiszins!$A$5:$A$18,Basiszins!$B$5:$B$18))</f>
        <v/>
      </c>
      <c r="C965">
        <f>IF(A965="","",B965+Rechner!$E$7)</f>
        <v/>
      </c>
      <c r="D965">
        <f>J964</f>
        <v/>
      </c>
      <c r="E965">
        <f>IF(A965="",0,D965*C965/100/(DATE(YEAR(A965)+1,1,1)-DATE(YEAR(A965),1,1)))</f>
        <v/>
      </c>
      <c r="F965">
        <f>IF(A965="",0,SUMIF(Rechner!$A$12:$A$21,A965,Rechner!$B$12:$B$21))</f>
        <v/>
      </c>
      <c r="G965">
        <f>H964+E965</f>
        <v/>
      </c>
      <c r="H965">
        <f>G965-MIN(F965,G965)</f>
        <v/>
      </c>
      <c r="I965">
        <f>MIN(F965-MIN(F965,G965),D965)</f>
        <v/>
      </c>
      <c r="J965">
        <f>D965-I965</f>
        <v/>
      </c>
      <c r="K965">
        <f>F965-MIN(F965,G965)-I965</f>
        <v/>
      </c>
    </row>
    <row r="966">
      <c r="A966" s="21">
        <f>IF(Rechner!$E$4&lt;&gt;"ok","",IF(Rechner!$E$5+964&lt;=Rechner!$B$6,Rechner!$E$5+964,""))</f>
        <v/>
      </c>
      <c r="B966">
        <f>IF(A966="","",LOOKUP(A966,Basiszins!$A$5:$A$18,Basiszins!$B$5:$B$18))</f>
        <v/>
      </c>
      <c r="C966">
        <f>IF(A966="","",B966+Rechner!$E$7)</f>
        <v/>
      </c>
      <c r="D966">
        <f>J965</f>
        <v/>
      </c>
      <c r="E966">
        <f>IF(A966="",0,D966*C966/100/(DATE(YEAR(A966)+1,1,1)-DATE(YEAR(A966),1,1)))</f>
        <v/>
      </c>
      <c r="F966">
        <f>IF(A966="",0,SUMIF(Rechner!$A$12:$A$21,A966,Rechner!$B$12:$B$21))</f>
        <v/>
      </c>
      <c r="G966">
        <f>H965+E966</f>
        <v/>
      </c>
      <c r="H966">
        <f>G966-MIN(F966,G966)</f>
        <v/>
      </c>
      <c r="I966">
        <f>MIN(F966-MIN(F966,G966),D966)</f>
        <v/>
      </c>
      <c r="J966">
        <f>D966-I966</f>
        <v/>
      </c>
      <c r="K966">
        <f>F966-MIN(F966,G966)-I966</f>
        <v/>
      </c>
    </row>
    <row r="967">
      <c r="A967" s="21">
        <f>IF(Rechner!$E$4&lt;&gt;"ok","",IF(Rechner!$E$5+965&lt;=Rechner!$B$6,Rechner!$E$5+965,""))</f>
        <v/>
      </c>
      <c r="B967">
        <f>IF(A967="","",LOOKUP(A967,Basiszins!$A$5:$A$18,Basiszins!$B$5:$B$18))</f>
        <v/>
      </c>
      <c r="C967">
        <f>IF(A967="","",B967+Rechner!$E$7)</f>
        <v/>
      </c>
      <c r="D967">
        <f>J966</f>
        <v/>
      </c>
      <c r="E967">
        <f>IF(A967="",0,D967*C967/100/(DATE(YEAR(A967)+1,1,1)-DATE(YEAR(A967),1,1)))</f>
        <v/>
      </c>
      <c r="F967">
        <f>IF(A967="",0,SUMIF(Rechner!$A$12:$A$21,A967,Rechner!$B$12:$B$21))</f>
        <v/>
      </c>
      <c r="G967">
        <f>H966+E967</f>
        <v/>
      </c>
      <c r="H967">
        <f>G967-MIN(F967,G967)</f>
        <v/>
      </c>
      <c r="I967">
        <f>MIN(F967-MIN(F967,G967),D967)</f>
        <v/>
      </c>
      <c r="J967">
        <f>D967-I967</f>
        <v/>
      </c>
      <c r="K967">
        <f>F967-MIN(F967,G967)-I967</f>
        <v/>
      </c>
    </row>
    <row r="968">
      <c r="A968" s="21">
        <f>IF(Rechner!$E$4&lt;&gt;"ok","",IF(Rechner!$E$5+966&lt;=Rechner!$B$6,Rechner!$E$5+966,""))</f>
        <v/>
      </c>
      <c r="B968">
        <f>IF(A968="","",LOOKUP(A968,Basiszins!$A$5:$A$18,Basiszins!$B$5:$B$18))</f>
        <v/>
      </c>
      <c r="C968">
        <f>IF(A968="","",B968+Rechner!$E$7)</f>
        <v/>
      </c>
      <c r="D968">
        <f>J967</f>
        <v/>
      </c>
      <c r="E968">
        <f>IF(A968="",0,D968*C968/100/(DATE(YEAR(A968)+1,1,1)-DATE(YEAR(A968),1,1)))</f>
        <v/>
      </c>
      <c r="F968">
        <f>IF(A968="",0,SUMIF(Rechner!$A$12:$A$21,A968,Rechner!$B$12:$B$21))</f>
        <v/>
      </c>
      <c r="G968">
        <f>H967+E968</f>
        <v/>
      </c>
      <c r="H968">
        <f>G968-MIN(F968,G968)</f>
        <v/>
      </c>
      <c r="I968">
        <f>MIN(F968-MIN(F968,G968),D968)</f>
        <v/>
      </c>
      <c r="J968">
        <f>D968-I968</f>
        <v/>
      </c>
      <c r="K968">
        <f>F968-MIN(F968,G968)-I968</f>
        <v/>
      </c>
    </row>
    <row r="969">
      <c r="A969" s="21">
        <f>IF(Rechner!$E$4&lt;&gt;"ok","",IF(Rechner!$E$5+967&lt;=Rechner!$B$6,Rechner!$E$5+967,""))</f>
        <v/>
      </c>
      <c r="B969">
        <f>IF(A969="","",LOOKUP(A969,Basiszins!$A$5:$A$18,Basiszins!$B$5:$B$18))</f>
        <v/>
      </c>
      <c r="C969">
        <f>IF(A969="","",B969+Rechner!$E$7)</f>
        <v/>
      </c>
      <c r="D969">
        <f>J968</f>
        <v/>
      </c>
      <c r="E969">
        <f>IF(A969="",0,D969*C969/100/(DATE(YEAR(A969)+1,1,1)-DATE(YEAR(A969),1,1)))</f>
        <v/>
      </c>
      <c r="F969">
        <f>IF(A969="",0,SUMIF(Rechner!$A$12:$A$21,A969,Rechner!$B$12:$B$21))</f>
        <v/>
      </c>
      <c r="G969">
        <f>H968+E969</f>
        <v/>
      </c>
      <c r="H969">
        <f>G969-MIN(F969,G969)</f>
        <v/>
      </c>
      <c r="I969">
        <f>MIN(F969-MIN(F969,G969),D969)</f>
        <v/>
      </c>
      <c r="J969">
        <f>D969-I969</f>
        <v/>
      </c>
      <c r="K969">
        <f>F969-MIN(F969,G969)-I969</f>
        <v/>
      </c>
    </row>
    <row r="970">
      <c r="A970" s="21">
        <f>IF(Rechner!$E$4&lt;&gt;"ok","",IF(Rechner!$E$5+968&lt;=Rechner!$B$6,Rechner!$E$5+968,""))</f>
        <v/>
      </c>
      <c r="B970">
        <f>IF(A970="","",LOOKUP(A970,Basiszins!$A$5:$A$18,Basiszins!$B$5:$B$18))</f>
        <v/>
      </c>
      <c r="C970">
        <f>IF(A970="","",B970+Rechner!$E$7)</f>
        <v/>
      </c>
      <c r="D970">
        <f>J969</f>
        <v/>
      </c>
      <c r="E970">
        <f>IF(A970="",0,D970*C970/100/(DATE(YEAR(A970)+1,1,1)-DATE(YEAR(A970),1,1)))</f>
        <v/>
      </c>
      <c r="F970">
        <f>IF(A970="",0,SUMIF(Rechner!$A$12:$A$21,A970,Rechner!$B$12:$B$21))</f>
        <v/>
      </c>
      <c r="G970">
        <f>H969+E970</f>
        <v/>
      </c>
      <c r="H970">
        <f>G970-MIN(F970,G970)</f>
        <v/>
      </c>
      <c r="I970">
        <f>MIN(F970-MIN(F970,G970),D970)</f>
        <v/>
      </c>
      <c r="J970">
        <f>D970-I970</f>
        <v/>
      </c>
      <c r="K970">
        <f>F970-MIN(F970,G970)-I970</f>
        <v/>
      </c>
    </row>
    <row r="971">
      <c r="A971" s="21">
        <f>IF(Rechner!$E$4&lt;&gt;"ok","",IF(Rechner!$E$5+969&lt;=Rechner!$B$6,Rechner!$E$5+969,""))</f>
        <v/>
      </c>
      <c r="B971">
        <f>IF(A971="","",LOOKUP(A971,Basiszins!$A$5:$A$18,Basiszins!$B$5:$B$18))</f>
        <v/>
      </c>
      <c r="C971">
        <f>IF(A971="","",B971+Rechner!$E$7)</f>
        <v/>
      </c>
      <c r="D971">
        <f>J970</f>
        <v/>
      </c>
      <c r="E971">
        <f>IF(A971="",0,D971*C971/100/(DATE(YEAR(A971)+1,1,1)-DATE(YEAR(A971),1,1)))</f>
        <v/>
      </c>
      <c r="F971">
        <f>IF(A971="",0,SUMIF(Rechner!$A$12:$A$21,A971,Rechner!$B$12:$B$21))</f>
        <v/>
      </c>
      <c r="G971">
        <f>H970+E971</f>
        <v/>
      </c>
      <c r="H971">
        <f>G971-MIN(F971,G971)</f>
        <v/>
      </c>
      <c r="I971">
        <f>MIN(F971-MIN(F971,G971),D971)</f>
        <v/>
      </c>
      <c r="J971">
        <f>D971-I971</f>
        <v/>
      </c>
      <c r="K971">
        <f>F971-MIN(F971,G971)-I971</f>
        <v/>
      </c>
    </row>
    <row r="972">
      <c r="A972" s="21">
        <f>IF(Rechner!$E$4&lt;&gt;"ok","",IF(Rechner!$E$5+970&lt;=Rechner!$B$6,Rechner!$E$5+970,""))</f>
        <v/>
      </c>
      <c r="B972">
        <f>IF(A972="","",LOOKUP(A972,Basiszins!$A$5:$A$18,Basiszins!$B$5:$B$18))</f>
        <v/>
      </c>
      <c r="C972">
        <f>IF(A972="","",B972+Rechner!$E$7)</f>
        <v/>
      </c>
      <c r="D972">
        <f>J971</f>
        <v/>
      </c>
      <c r="E972">
        <f>IF(A972="",0,D972*C972/100/(DATE(YEAR(A972)+1,1,1)-DATE(YEAR(A972),1,1)))</f>
        <v/>
      </c>
      <c r="F972">
        <f>IF(A972="",0,SUMIF(Rechner!$A$12:$A$21,A972,Rechner!$B$12:$B$21))</f>
        <v/>
      </c>
      <c r="G972">
        <f>H971+E972</f>
        <v/>
      </c>
      <c r="H972">
        <f>G972-MIN(F972,G972)</f>
        <v/>
      </c>
      <c r="I972">
        <f>MIN(F972-MIN(F972,G972),D972)</f>
        <v/>
      </c>
      <c r="J972">
        <f>D972-I972</f>
        <v/>
      </c>
      <c r="K972">
        <f>F972-MIN(F972,G972)-I972</f>
        <v/>
      </c>
    </row>
    <row r="973">
      <c r="A973" s="21">
        <f>IF(Rechner!$E$4&lt;&gt;"ok","",IF(Rechner!$E$5+971&lt;=Rechner!$B$6,Rechner!$E$5+971,""))</f>
        <v/>
      </c>
      <c r="B973">
        <f>IF(A973="","",LOOKUP(A973,Basiszins!$A$5:$A$18,Basiszins!$B$5:$B$18))</f>
        <v/>
      </c>
      <c r="C973">
        <f>IF(A973="","",B973+Rechner!$E$7)</f>
        <v/>
      </c>
      <c r="D973">
        <f>J972</f>
        <v/>
      </c>
      <c r="E973">
        <f>IF(A973="",0,D973*C973/100/(DATE(YEAR(A973)+1,1,1)-DATE(YEAR(A973),1,1)))</f>
        <v/>
      </c>
      <c r="F973">
        <f>IF(A973="",0,SUMIF(Rechner!$A$12:$A$21,A973,Rechner!$B$12:$B$21))</f>
        <v/>
      </c>
      <c r="G973">
        <f>H972+E973</f>
        <v/>
      </c>
      <c r="H973">
        <f>G973-MIN(F973,G973)</f>
        <v/>
      </c>
      <c r="I973">
        <f>MIN(F973-MIN(F973,G973),D973)</f>
        <v/>
      </c>
      <c r="J973">
        <f>D973-I973</f>
        <v/>
      </c>
      <c r="K973">
        <f>F973-MIN(F973,G973)-I973</f>
        <v/>
      </c>
    </row>
    <row r="974">
      <c r="A974" s="21">
        <f>IF(Rechner!$E$4&lt;&gt;"ok","",IF(Rechner!$E$5+972&lt;=Rechner!$B$6,Rechner!$E$5+972,""))</f>
        <v/>
      </c>
      <c r="B974">
        <f>IF(A974="","",LOOKUP(A974,Basiszins!$A$5:$A$18,Basiszins!$B$5:$B$18))</f>
        <v/>
      </c>
      <c r="C974">
        <f>IF(A974="","",B974+Rechner!$E$7)</f>
        <v/>
      </c>
      <c r="D974">
        <f>J973</f>
        <v/>
      </c>
      <c r="E974">
        <f>IF(A974="",0,D974*C974/100/(DATE(YEAR(A974)+1,1,1)-DATE(YEAR(A974),1,1)))</f>
        <v/>
      </c>
      <c r="F974">
        <f>IF(A974="",0,SUMIF(Rechner!$A$12:$A$21,A974,Rechner!$B$12:$B$21))</f>
        <v/>
      </c>
      <c r="G974">
        <f>H973+E974</f>
        <v/>
      </c>
      <c r="H974">
        <f>G974-MIN(F974,G974)</f>
        <v/>
      </c>
      <c r="I974">
        <f>MIN(F974-MIN(F974,G974),D974)</f>
        <v/>
      </c>
      <c r="J974">
        <f>D974-I974</f>
        <v/>
      </c>
      <c r="K974">
        <f>F974-MIN(F974,G974)-I974</f>
        <v/>
      </c>
    </row>
    <row r="975">
      <c r="A975" s="21">
        <f>IF(Rechner!$E$4&lt;&gt;"ok","",IF(Rechner!$E$5+973&lt;=Rechner!$B$6,Rechner!$E$5+973,""))</f>
        <v/>
      </c>
      <c r="B975">
        <f>IF(A975="","",LOOKUP(A975,Basiszins!$A$5:$A$18,Basiszins!$B$5:$B$18))</f>
        <v/>
      </c>
      <c r="C975">
        <f>IF(A975="","",B975+Rechner!$E$7)</f>
        <v/>
      </c>
      <c r="D975">
        <f>J974</f>
        <v/>
      </c>
      <c r="E975">
        <f>IF(A975="",0,D975*C975/100/(DATE(YEAR(A975)+1,1,1)-DATE(YEAR(A975),1,1)))</f>
        <v/>
      </c>
      <c r="F975">
        <f>IF(A975="",0,SUMIF(Rechner!$A$12:$A$21,A975,Rechner!$B$12:$B$21))</f>
        <v/>
      </c>
      <c r="G975">
        <f>H974+E975</f>
        <v/>
      </c>
      <c r="H975">
        <f>G975-MIN(F975,G975)</f>
        <v/>
      </c>
      <c r="I975">
        <f>MIN(F975-MIN(F975,G975),D975)</f>
        <v/>
      </c>
      <c r="J975">
        <f>D975-I975</f>
        <v/>
      </c>
      <c r="K975">
        <f>F975-MIN(F975,G975)-I975</f>
        <v/>
      </c>
    </row>
    <row r="976">
      <c r="A976" s="21">
        <f>IF(Rechner!$E$4&lt;&gt;"ok","",IF(Rechner!$E$5+974&lt;=Rechner!$B$6,Rechner!$E$5+974,""))</f>
        <v/>
      </c>
      <c r="B976">
        <f>IF(A976="","",LOOKUP(A976,Basiszins!$A$5:$A$18,Basiszins!$B$5:$B$18))</f>
        <v/>
      </c>
      <c r="C976">
        <f>IF(A976="","",B976+Rechner!$E$7)</f>
        <v/>
      </c>
      <c r="D976">
        <f>J975</f>
        <v/>
      </c>
      <c r="E976">
        <f>IF(A976="",0,D976*C976/100/(DATE(YEAR(A976)+1,1,1)-DATE(YEAR(A976),1,1)))</f>
        <v/>
      </c>
      <c r="F976">
        <f>IF(A976="",0,SUMIF(Rechner!$A$12:$A$21,A976,Rechner!$B$12:$B$21))</f>
        <v/>
      </c>
      <c r="G976">
        <f>H975+E976</f>
        <v/>
      </c>
      <c r="H976">
        <f>G976-MIN(F976,G976)</f>
        <v/>
      </c>
      <c r="I976">
        <f>MIN(F976-MIN(F976,G976),D976)</f>
        <v/>
      </c>
      <c r="J976">
        <f>D976-I976</f>
        <v/>
      </c>
      <c r="K976">
        <f>F976-MIN(F976,G976)-I976</f>
        <v/>
      </c>
    </row>
    <row r="977">
      <c r="A977" s="21">
        <f>IF(Rechner!$E$4&lt;&gt;"ok","",IF(Rechner!$E$5+975&lt;=Rechner!$B$6,Rechner!$E$5+975,""))</f>
        <v/>
      </c>
      <c r="B977">
        <f>IF(A977="","",LOOKUP(A977,Basiszins!$A$5:$A$18,Basiszins!$B$5:$B$18))</f>
        <v/>
      </c>
      <c r="C977">
        <f>IF(A977="","",B977+Rechner!$E$7)</f>
        <v/>
      </c>
      <c r="D977">
        <f>J976</f>
        <v/>
      </c>
      <c r="E977">
        <f>IF(A977="",0,D977*C977/100/(DATE(YEAR(A977)+1,1,1)-DATE(YEAR(A977),1,1)))</f>
        <v/>
      </c>
      <c r="F977">
        <f>IF(A977="",0,SUMIF(Rechner!$A$12:$A$21,A977,Rechner!$B$12:$B$21))</f>
        <v/>
      </c>
      <c r="G977">
        <f>H976+E977</f>
        <v/>
      </c>
      <c r="H977">
        <f>G977-MIN(F977,G977)</f>
        <v/>
      </c>
      <c r="I977">
        <f>MIN(F977-MIN(F977,G977),D977)</f>
        <v/>
      </c>
      <c r="J977">
        <f>D977-I977</f>
        <v/>
      </c>
      <c r="K977">
        <f>F977-MIN(F977,G977)-I977</f>
        <v/>
      </c>
    </row>
    <row r="978">
      <c r="A978" s="21">
        <f>IF(Rechner!$E$4&lt;&gt;"ok","",IF(Rechner!$E$5+976&lt;=Rechner!$B$6,Rechner!$E$5+976,""))</f>
        <v/>
      </c>
      <c r="B978">
        <f>IF(A978="","",LOOKUP(A978,Basiszins!$A$5:$A$18,Basiszins!$B$5:$B$18))</f>
        <v/>
      </c>
      <c r="C978">
        <f>IF(A978="","",B978+Rechner!$E$7)</f>
        <v/>
      </c>
      <c r="D978">
        <f>J977</f>
        <v/>
      </c>
      <c r="E978">
        <f>IF(A978="",0,D978*C978/100/(DATE(YEAR(A978)+1,1,1)-DATE(YEAR(A978),1,1)))</f>
        <v/>
      </c>
      <c r="F978">
        <f>IF(A978="",0,SUMIF(Rechner!$A$12:$A$21,A978,Rechner!$B$12:$B$21))</f>
        <v/>
      </c>
      <c r="G978">
        <f>H977+E978</f>
        <v/>
      </c>
      <c r="H978">
        <f>G978-MIN(F978,G978)</f>
        <v/>
      </c>
      <c r="I978">
        <f>MIN(F978-MIN(F978,G978),D978)</f>
        <v/>
      </c>
      <c r="J978">
        <f>D978-I978</f>
        <v/>
      </c>
      <c r="K978">
        <f>F978-MIN(F978,G978)-I978</f>
        <v/>
      </c>
    </row>
    <row r="979">
      <c r="A979" s="21">
        <f>IF(Rechner!$E$4&lt;&gt;"ok","",IF(Rechner!$E$5+977&lt;=Rechner!$B$6,Rechner!$E$5+977,""))</f>
        <v/>
      </c>
      <c r="B979">
        <f>IF(A979="","",LOOKUP(A979,Basiszins!$A$5:$A$18,Basiszins!$B$5:$B$18))</f>
        <v/>
      </c>
      <c r="C979">
        <f>IF(A979="","",B979+Rechner!$E$7)</f>
        <v/>
      </c>
      <c r="D979">
        <f>J978</f>
        <v/>
      </c>
      <c r="E979">
        <f>IF(A979="",0,D979*C979/100/(DATE(YEAR(A979)+1,1,1)-DATE(YEAR(A979),1,1)))</f>
        <v/>
      </c>
      <c r="F979">
        <f>IF(A979="",0,SUMIF(Rechner!$A$12:$A$21,A979,Rechner!$B$12:$B$21))</f>
        <v/>
      </c>
      <c r="G979">
        <f>H978+E979</f>
        <v/>
      </c>
      <c r="H979">
        <f>G979-MIN(F979,G979)</f>
        <v/>
      </c>
      <c r="I979">
        <f>MIN(F979-MIN(F979,G979),D979)</f>
        <v/>
      </c>
      <c r="J979">
        <f>D979-I979</f>
        <v/>
      </c>
      <c r="K979">
        <f>F979-MIN(F979,G979)-I979</f>
        <v/>
      </c>
    </row>
    <row r="980">
      <c r="A980" s="21">
        <f>IF(Rechner!$E$4&lt;&gt;"ok","",IF(Rechner!$E$5+978&lt;=Rechner!$B$6,Rechner!$E$5+978,""))</f>
        <v/>
      </c>
      <c r="B980">
        <f>IF(A980="","",LOOKUP(A980,Basiszins!$A$5:$A$18,Basiszins!$B$5:$B$18))</f>
        <v/>
      </c>
      <c r="C980">
        <f>IF(A980="","",B980+Rechner!$E$7)</f>
        <v/>
      </c>
      <c r="D980">
        <f>J979</f>
        <v/>
      </c>
      <c r="E980">
        <f>IF(A980="",0,D980*C980/100/(DATE(YEAR(A980)+1,1,1)-DATE(YEAR(A980),1,1)))</f>
        <v/>
      </c>
      <c r="F980">
        <f>IF(A980="",0,SUMIF(Rechner!$A$12:$A$21,A980,Rechner!$B$12:$B$21))</f>
        <v/>
      </c>
      <c r="G980">
        <f>H979+E980</f>
        <v/>
      </c>
      <c r="H980">
        <f>G980-MIN(F980,G980)</f>
        <v/>
      </c>
      <c r="I980">
        <f>MIN(F980-MIN(F980,G980),D980)</f>
        <v/>
      </c>
      <c r="J980">
        <f>D980-I980</f>
        <v/>
      </c>
      <c r="K980">
        <f>F980-MIN(F980,G980)-I980</f>
        <v/>
      </c>
    </row>
    <row r="981">
      <c r="A981" s="21">
        <f>IF(Rechner!$E$4&lt;&gt;"ok","",IF(Rechner!$E$5+979&lt;=Rechner!$B$6,Rechner!$E$5+979,""))</f>
        <v/>
      </c>
      <c r="B981">
        <f>IF(A981="","",LOOKUP(A981,Basiszins!$A$5:$A$18,Basiszins!$B$5:$B$18))</f>
        <v/>
      </c>
      <c r="C981">
        <f>IF(A981="","",B981+Rechner!$E$7)</f>
        <v/>
      </c>
      <c r="D981">
        <f>J980</f>
        <v/>
      </c>
      <c r="E981">
        <f>IF(A981="",0,D981*C981/100/(DATE(YEAR(A981)+1,1,1)-DATE(YEAR(A981),1,1)))</f>
        <v/>
      </c>
      <c r="F981">
        <f>IF(A981="",0,SUMIF(Rechner!$A$12:$A$21,A981,Rechner!$B$12:$B$21))</f>
        <v/>
      </c>
      <c r="G981">
        <f>H980+E981</f>
        <v/>
      </c>
      <c r="H981">
        <f>G981-MIN(F981,G981)</f>
        <v/>
      </c>
      <c r="I981">
        <f>MIN(F981-MIN(F981,G981),D981)</f>
        <v/>
      </c>
      <c r="J981">
        <f>D981-I981</f>
        <v/>
      </c>
      <c r="K981">
        <f>F981-MIN(F981,G981)-I981</f>
        <v/>
      </c>
    </row>
    <row r="982">
      <c r="A982" s="21">
        <f>IF(Rechner!$E$4&lt;&gt;"ok","",IF(Rechner!$E$5+980&lt;=Rechner!$B$6,Rechner!$E$5+980,""))</f>
        <v/>
      </c>
      <c r="B982">
        <f>IF(A982="","",LOOKUP(A982,Basiszins!$A$5:$A$18,Basiszins!$B$5:$B$18))</f>
        <v/>
      </c>
      <c r="C982">
        <f>IF(A982="","",B982+Rechner!$E$7)</f>
        <v/>
      </c>
      <c r="D982">
        <f>J981</f>
        <v/>
      </c>
      <c r="E982">
        <f>IF(A982="",0,D982*C982/100/(DATE(YEAR(A982)+1,1,1)-DATE(YEAR(A982),1,1)))</f>
        <v/>
      </c>
      <c r="F982">
        <f>IF(A982="",0,SUMIF(Rechner!$A$12:$A$21,A982,Rechner!$B$12:$B$21))</f>
        <v/>
      </c>
      <c r="G982">
        <f>H981+E982</f>
        <v/>
      </c>
      <c r="H982">
        <f>G982-MIN(F982,G982)</f>
        <v/>
      </c>
      <c r="I982">
        <f>MIN(F982-MIN(F982,G982),D982)</f>
        <v/>
      </c>
      <c r="J982">
        <f>D982-I982</f>
        <v/>
      </c>
      <c r="K982">
        <f>F982-MIN(F982,G982)-I982</f>
        <v/>
      </c>
    </row>
    <row r="983">
      <c r="A983" s="21">
        <f>IF(Rechner!$E$4&lt;&gt;"ok","",IF(Rechner!$E$5+981&lt;=Rechner!$B$6,Rechner!$E$5+981,""))</f>
        <v/>
      </c>
      <c r="B983">
        <f>IF(A983="","",LOOKUP(A983,Basiszins!$A$5:$A$18,Basiszins!$B$5:$B$18))</f>
        <v/>
      </c>
      <c r="C983">
        <f>IF(A983="","",B983+Rechner!$E$7)</f>
        <v/>
      </c>
      <c r="D983">
        <f>J982</f>
        <v/>
      </c>
      <c r="E983">
        <f>IF(A983="",0,D983*C983/100/(DATE(YEAR(A983)+1,1,1)-DATE(YEAR(A983),1,1)))</f>
        <v/>
      </c>
      <c r="F983">
        <f>IF(A983="",0,SUMIF(Rechner!$A$12:$A$21,A983,Rechner!$B$12:$B$21))</f>
        <v/>
      </c>
      <c r="G983">
        <f>H982+E983</f>
        <v/>
      </c>
      <c r="H983">
        <f>G983-MIN(F983,G983)</f>
        <v/>
      </c>
      <c r="I983">
        <f>MIN(F983-MIN(F983,G983),D983)</f>
        <v/>
      </c>
      <c r="J983">
        <f>D983-I983</f>
        <v/>
      </c>
      <c r="K983">
        <f>F983-MIN(F983,G983)-I983</f>
        <v/>
      </c>
    </row>
    <row r="984">
      <c r="A984" s="21">
        <f>IF(Rechner!$E$4&lt;&gt;"ok","",IF(Rechner!$E$5+982&lt;=Rechner!$B$6,Rechner!$E$5+982,""))</f>
        <v/>
      </c>
      <c r="B984">
        <f>IF(A984="","",LOOKUP(A984,Basiszins!$A$5:$A$18,Basiszins!$B$5:$B$18))</f>
        <v/>
      </c>
      <c r="C984">
        <f>IF(A984="","",B984+Rechner!$E$7)</f>
        <v/>
      </c>
      <c r="D984">
        <f>J983</f>
        <v/>
      </c>
      <c r="E984">
        <f>IF(A984="",0,D984*C984/100/(DATE(YEAR(A984)+1,1,1)-DATE(YEAR(A984),1,1)))</f>
        <v/>
      </c>
      <c r="F984">
        <f>IF(A984="",0,SUMIF(Rechner!$A$12:$A$21,A984,Rechner!$B$12:$B$21))</f>
        <v/>
      </c>
      <c r="G984">
        <f>H983+E984</f>
        <v/>
      </c>
      <c r="H984">
        <f>G984-MIN(F984,G984)</f>
        <v/>
      </c>
      <c r="I984">
        <f>MIN(F984-MIN(F984,G984),D984)</f>
        <v/>
      </c>
      <c r="J984">
        <f>D984-I984</f>
        <v/>
      </c>
      <c r="K984">
        <f>F984-MIN(F984,G984)-I984</f>
        <v/>
      </c>
    </row>
    <row r="985">
      <c r="A985" s="21">
        <f>IF(Rechner!$E$4&lt;&gt;"ok","",IF(Rechner!$E$5+983&lt;=Rechner!$B$6,Rechner!$E$5+983,""))</f>
        <v/>
      </c>
      <c r="B985">
        <f>IF(A985="","",LOOKUP(A985,Basiszins!$A$5:$A$18,Basiszins!$B$5:$B$18))</f>
        <v/>
      </c>
      <c r="C985">
        <f>IF(A985="","",B985+Rechner!$E$7)</f>
        <v/>
      </c>
      <c r="D985">
        <f>J984</f>
        <v/>
      </c>
      <c r="E985">
        <f>IF(A985="",0,D985*C985/100/(DATE(YEAR(A985)+1,1,1)-DATE(YEAR(A985),1,1)))</f>
        <v/>
      </c>
      <c r="F985">
        <f>IF(A985="",0,SUMIF(Rechner!$A$12:$A$21,A985,Rechner!$B$12:$B$21))</f>
        <v/>
      </c>
      <c r="G985">
        <f>H984+E985</f>
        <v/>
      </c>
      <c r="H985">
        <f>G985-MIN(F985,G985)</f>
        <v/>
      </c>
      <c r="I985">
        <f>MIN(F985-MIN(F985,G985),D985)</f>
        <v/>
      </c>
      <c r="J985">
        <f>D985-I985</f>
        <v/>
      </c>
      <c r="K985">
        <f>F985-MIN(F985,G985)-I985</f>
        <v/>
      </c>
    </row>
    <row r="986">
      <c r="A986" s="21">
        <f>IF(Rechner!$E$4&lt;&gt;"ok","",IF(Rechner!$E$5+984&lt;=Rechner!$B$6,Rechner!$E$5+984,""))</f>
        <v/>
      </c>
      <c r="B986">
        <f>IF(A986="","",LOOKUP(A986,Basiszins!$A$5:$A$18,Basiszins!$B$5:$B$18))</f>
        <v/>
      </c>
      <c r="C986">
        <f>IF(A986="","",B986+Rechner!$E$7)</f>
        <v/>
      </c>
      <c r="D986">
        <f>J985</f>
        <v/>
      </c>
      <c r="E986">
        <f>IF(A986="",0,D986*C986/100/(DATE(YEAR(A986)+1,1,1)-DATE(YEAR(A986),1,1)))</f>
        <v/>
      </c>
      <c r="F986">
        <f>IF(A986="",0,SUMIF(Rechner!$A$12:$A$21,A986,Rechner!$B$12:$B$21))</f>
        <v/>
      </c>
      <c r="G986">
        <f>H985+E986</f>
        <v/>
      </c>
      <c r="H986">
        <f>G986-MIN(F986,G986)</f>
        <v/>
      </c>
      <c r="I986">
        <f>MIN(F986-MIN(F986,G986),D986)</f>
        <v/>
      </c>
      <c r="J986">
        <f>D986-I986</f>
        <v/>
      </c>
      <c r="K986">
        <f>F986-MIN(F986,G986)-I986</f>
        <v/>
      </c>
    </row>
    <row r="987">
      <c r="A987" s="21">
        <f>IF(Rechner!$E$4&lt;&gt;"ok","",IF(Rechner!$E$5+985&lt;=Rechner!$B$6,Rechner!$E$5+985,""))</f>
        <v/>
      </c>
      <c r="B987">
        <f>IF(A987="","",LOOKUP(A987,Basiszins!$A$5:$A$18,Basiszins!$B$5:$B$18))</f>
        <v/>
      </c>
      <c r="C987">
        <f>IF(A987="","",B987+Rechner!$E$7)</f>
        <v/>
      </c>
      <c r="D987">
        <f>J986</f>
        <v/>
      </c>
      <c r="E987">
        <f>IF(A987="",0,D987*C987/100/(DATE(YEAR(A987)+1,1,1)-DATE(YEAR(A987),1,1)))</f>
        <v/>
      </c>
      <c r="F987">
        <f>IF(A987="",0,SUMIF(Rechner!$A$12:$A$21,A987,Rechner!$B$12:$B$21))</f>
        <v/>
      </c>
      <c r="G987">
        <f>H986+E987</f>
        <v/>
      </c>
      <c r="H987">
        <f>G987-MIN(F987,G987)</f>
        <v/>
      </c>
      <c r="I987">
        <f>MIN(F987-MIN(F987,G987),D987)</f>
        <v/>
      </c>
      <c r="J987">
        <f>D987-I987</f>
        <v/>
      </c>
      <c r="K987">
        <f>F987-MIN(F987,G987)-I987</f>
        <v/>
      </c>
    </row>
    <row r="988">
      <c r="A988" s="21">
        <f>IF(Rechner!$E$4&lt;&gt;"ok","",IF(Rechner!$E$5+986&lt;=Rechner!$B$6,Rechner!$E$5+986,""))</f>
        <v/>
      </c>
      <c r="B988">
        <f>IF(A988="","",LOOKUP(A988,Basiszins!$A$5:$A$18,Basiszins!$B$5:$B$18))</f>
        <v/>
      </c>
      <c r="C988">
        <f>IF(A988="","",B988+Rechner!$E$7)</f>
        <v/>
      </c>
      <c r="D988">
        <f>J987</f>
        <v/>
      </c>
      <c r="E988">
        <f>IF(A988="",0,D988*C988/100/(DATE(YEAR(A988)+1,1,1)-DATE(YEAR(A988),1,1)))</f>
        <v/>
      </c>
      <c r="F988">
        <f>IF(A988="",0,SUMIF(Rechner!$A$12:$A$21,A988,Rechner!$B$12:$B$21))</f>
        <v/>
      </c>
      <c r="G988">
        <f>H987+E988</f>
        <v/>
      </c>
      <c r="H988">
        <f>G988-MIN(F988,G988)</f>
        <v/>
      </c>
      <c r="I988">
        <f>MIN(F988-MIN(F988,G988),D988)</f>
        <v/>
      </c>
      <c r="J988">
        <f>D988-I988</f>
        <v/>
      </c>
      <c r="K988">
        <f>F988-MIN(F988,G988)-I988</f>
        <v/>
      </c>
    </row>
    <row r="989">
      <c r="A989" s="21">
        <f>IF(Rechner!$E$4&lt;&gt;"ok","",IF(Rechner!$E$5+987&lt;=Rechner!$B$6,Rechner!$E$5+987,""))</f>
        <v/>
      </c>
      <c r="B989">
        <f>IF(A989="","",LOOKUP(A989,Basiszins!$A$5:$A$18,Basiszins!$B$5:$B$18))</f>
        <v/>
      </c>
      <c r="C989">
        <f>IF(A989="","",B989+Rechner!$E$7)</f>
        <v/>
      </c>
      <c r="D989">
        <f>J988</f>
        <v/>
      </c>
      <c r="E989">
        <f>IF(A989="",0,D989*C989/100/(DATE(YEAR(A989)+1,1,1)-DATE(YEAR(A989),1,1)))</f>
        <v/>
      </c>
      <c r="F989">
        <f>IF(A989="",0,SUMIF(Rechner!$A$12:$A$21,A989,Rechner!$B$12:$B$21))</f>
        <v/>
      </c>
      <c r="G989">
        <f>H988+E989</f>
        <v/>
      </c>
      <c r="H989">
        <f>G989-MIN(F989,G989)</f>
        <v/>
      </c>
      <c r="I989">
        <f>MIN(F989-MIN(F989,G989),D989)</f>
        <v/>
      </c>
      <c r="J989">
        <f>D989-I989</f>
        <v/>
      </c>
      <c r="K989">
        <f>F989-MIN(F989,G989)-I989</f>
        <v/>
      </c>
    </row>
    <row r="990">
      <c r="A990" s="21">
        <f>IF(Rechner!$E$4&lt;&gt;"ok","",IF(Rechner!$E$5+988&lt;=Rechner!$B$6,Rechner!$E$5+988,""))</f>
        <v/>
      </c>
      <c r="B990">
        <f>IF(A990="","",LOOKUP(A990,Basiszins!$A$5:$A$18,Basiszins!$B$5:$B$18))</f>
        <v/>
      </c>
      <c r="C990">
        <f>IF(A990="","",B990+Rechner!$E$7)</f>
        <v/>
      </c>
      <c r="D990">
        <f>J989</f>
        <v/>
      </c>
      <c r="E990">
        <f>IF(A990="",0,D990*C990/100/(DATE(YEAR(A990)+1,1,1)-DATE(YEAR(A990),1,1)))</f>
        <v/>
      </c>
      <c r="F990">
        <f>IF(A990="",0,SUMIF(Rechner!$A$12:$A$21,A990,Rechner!$B$12:$B$21))</f>
        <v/>
      </c>
      <c r="G990">
        <f>H989+E990</f>
        <v/>
      </c>
      <c r="H990">
        <f>G990-MIN(F990,G990)</f>
        <v/>
      </c>
      <c r="I990">
        <f>MIN(F990-MIN(F990,G990),D990)</f>
        <v/>
      </c>
      <c r="J990">
        <f>D990-I990</f>
        <v/>
      </c>
      <c r="K990">
        <f>F990-MIN(F990,G990)-I990</f>
        <v/>
      </c>
    </row>
    <row r="991">
      <c r="A991" s="21">
        <f>IF(Rechner!$E$4&lt;&gt;"ok","",IF(Rechner!$E$5+989&lt;=Rechner!$B$6,Rechner!$E$5+989,""))</f>
        <v/>
      </c>
      <c r="B991">
        <f>IF(A991="","",LOOKUP(A991,Basiszins!$A$5:$A$18,Basiszins!$B$5:$B$18))</f>
        <v/>
      </c>
      <c r="C991">
        <f>IF(A991="","",B991+Rechner!$E$7)</f>
        <v/>
      </c>
      <c r="D991">
        <f>J990</f>
        <v/>
      </c>
      <c r="E991">
        <f>IF(A991="",0,D991*C991/100/(DATE(YEAR(A991)+1,1,1)-DATE(YEAR(A991),1,1)))</f>
        <v/>
      </c>
      <c r="F991">
        <f>IF(A991="",0,SUMIF(Rechner!$A$12:$A$21,A991,Rechner!$B$12:$B$21))</f>
        <v/>
      </c>
      <c r="G991">
        <f>H990+E991</f>
        <v/>
      </c>
      <c r="H991">
        <f>G991-MIN(F991,G991)</f>
        <v/>
      </c>
      <c r="I991">
        <f>MIN(F991-MIN(F991,G991),D991)</f>
        <v/>
      </c>
      <c r="J991">
        <f>D991-I991</f>
        <v/>
      </c>
      <c r="K991">
        <f>F991-MIN(F991,G991)-I991</f>
        <v/>
      </c>
    </row>
    <row r="992">
      <c r="A992" s="21">
        <f>IF(Rechner!$E$4&lt;&gt;"ok","",IF(Rechner!$E$5+990&lt;=Rechner!$B$6,Rechner!$E$5+990,""))</f>
        <v/>
      </c>
      <c r="B992">
        <f>IF(A992="","",LOOKUP(A992,Basiszins!$A$5:$A$18,Basiszins!$B$5:$B$18))</f>
        <v/>
      </c>
      <c r="C992">
        <f>IF(A992="","",B992+Rechner!$E$7)</f>
        <v/>
      </c>
      <c r="D992">
        <f>J991</f>
        <v/>
      </c>
      <c r="E992">
        <f>IF(A992="",0,D992*C992/100/(DATE(YEAR(A992)+1,1,1)-DATE(YEAR(A992),1,1)))</f>
        <v/>
      </c>
      <c r="F992">
        <f>IF(A992="",0,SUMIF(Rechner!$A$12:$A$21,A992,Rechner!$B$12:$B$21))</f>
        <v/>
      </c>
      <c r="G992">
        <f>H991+E992</f>
        <v/>
      </c>
      <c r="H992">
        <f>G992-MIN(F992,G992)</f>
        <v/>
      </c>
      <c r="I992">
        <f>MIN(F992-MIN(F992,G992),D992)</f>
        <v/>
      </c>
      <c r="J992">
        <f>D992-I992</f>
        <v/>
      </c>
      <c r="K992">
        <f>F992-MIN(F992,G992)-I992</f>
        <v/>
      </c>
    </row>
    <row r="993">
      <c r="A993" s="21">
        <f>IF(Rechner!$E$4&lt;&gt;"ok","",IF(Rechner!$E$5+991&lt;=Rechner!$B$6,Rechner!$E$5+991,""))</f>
        <v/>
      </c>
      <c r="B993">
        <f>IF(A993="","",LOOKUP(A993,Basiszins!$A$5:$A$18,Basiszins!$B$5:$B$18))</f>
        <v/>
      </c>
      <c r="C993">
        <f>IF(A993="","",B993+Rechner!$E$7)</f>
        <v/>
      </c>
      <c r="D993">
        <f>J992</f>
        <v/>
      </c>
      <c r="E993">
        <f>IF(A993="",0,D993*C993/100/(DATE(YEAR(A993)+1,1,1)-DATE(YEAR(A993),1,1)))</f>
        <v/>
      </c>
      <c r="F993">
        <f>IF(A993="",0,SUMIF(Rechner!$A$12:$A$21,A993,Rechner!$B$12:$B$21))</f>
        <v/>
      </c>
      <c r="G993">
        <f>H992+E993</f>
        <v/>
      </c>
      <c r="H993">
        <f>G993-MIN(F993,G993)</f>
        <v/>
      </c>
      <c r="I993">
        <f>MIN(F993-MIN(F993,G993),D993)</f>
        <v/>
      </c>
      <c r="J993">
        <f>D993-I993</f>
        <v/>
      </c>
      <c r="K993">
        <f>F993-MIN(F993,G993)-I993</f>
        <v/>
      </c>
    </row>
    <row r="994">
      <c r="A994" s="21">
        <f>IF(Rechner!$E$4&lt;&gt;"ok","",IF(Rechner!$E$5+992&lt;=Rechner!$B$6,Rechner!$E$5+992,""))</f>
        <v/>
      </c>
      <c r="B994">
        <f>IF(A994="","",LOOKUP(A994,Basiszins!$A$5:$A$18,Basiszins!$B$5:$B$18))</f>
        <v/>
      </c>
      <c r="C994">
        <f>IF(A994="","",B994+Rechner!$E$7)</f>
        <v/>
      </c>
      <c r="D994">
        <f>J993</f>
        <v/>
      </c>
      <c r="E994">
        <f>IF(A994="",0,D994*C994/100/(DATE(YEAR(A994)+1,1,1)-DATE(YEAR(A994),1,1)))</f>
        <v/>
      </c>
      <c r="F994">
        <f>IF(A994="",0,SUMIF(Rechner!$A$12:$A$21,A994,Rechner!$B$12:$B$21))</f>
        <v/>
      </c>
      <c r="G994">
        <f>H993+E994</f>
        <v/>
      </c>
      <c r="H994">
        <f>G994-MIN(F994,G994)</f>
        <v/>
      </c>
      <c r="I994">
        <f>MIN(F994-MIN(F994,G994),D994)</f>
        <v/>
      </c>
      <c r="J994">
        <f>D994-I994</f>
        <v/>
      </c>
      <c r="K994">
        <f>F994-MIN(F994,G994)-I994</f>
        <v/>
      </c>
    </row>
    <row r="995">
      <c r="A995" s="21">
        <f>IF(Rechner!$E$4&lt;&gt;"ok","",IF(Rechner!$E$5+993&lt;=Rechner!$B$6,Rechner!$E$5+993,""))</f>
        <v/>
      </c>
      <c r="B995">
        <f>IF(A995="","",LOOKUP(A995,Basiszins!$A$5:$A$18,Basiszins!$B$5:$B$18))</f>
        <v/>
      </c>
      <c r="C995">
        <f>IF(A995="","",B995+Rechner!$E$7)</f>
        <v/>
      </c>
      <c r="D995">
        <f>J994</f>
        <v/>
      </c>
      <c r="E995">
        <f>IF(A995="",0,D995*C995/100/(DATE(YEAR(A995)+1,1,1)-DATE(YEAR(A995),1,1)))</f>
        <v/>
      </c>
      <c r="F995">
        <f>IF(A995="",0,SUMIF(Rechner!$A$12:$A$21,A995,Rechner!$B$12:$B$21))</f>
        <v/>
      </c>
      <c r="G995">
        <f>H994+E995</f>
        <v/>
      </c>
      <c r="H995">
        <f>G995-MIN(F995,G995)</f>
        <v/>
      </c>
      <c r="I995">
        <f>MIN(F995-MIN(F995,G995),D995)</f>
        <v/>
      </c>
      <c r="J995">
        <f>D995-I995</f>
        <v/>
      </c>
      <c r="K995">
        <f>F995-MIN(F995,G995)-I995</f>
        <v/>
      </c>
    </row>
    <row r="996">
      <c r="A996" s="21">
        <f>IF(Rechner!$E$4&lt;&gt;"ok","",IF(Rechner!$E$5+994&lt;=Rechner!$B$6,Rechner!$E$5+994,""))</f>
        <v/>
      </c>
      <c r="B996">
        <f>IF(A996="","",LOOKUP(A996,Basiszins!$A$5:$A$18,Basiszins!$B$5:$B$18))</f>
        <v/>
      </c>
      <c r="C996">
        <f>IF(A996="","",B996+Rechner!$E$7)</f>
        <v/>
      </c>
      <c r="D996">
        <f>J995</f>
        <v/>
      </c>
      <c r="E996">
        <f>IF(A996="",0,D996*C996/100/(DATE(YEAR(A996)+1,1,1)-DATE(YEAR(A996),1,1)))</f>
        <v/>
      </c>
      <c r="F996">
        <f>IF(A996="",0,SUMIF(Rechner!$A$12:$A$21,A996,Rechner!$B$12:$B$21))</f>
        <v/>
      </c>
      <c r="G996">
        <f>H995+E996</f>
        <v/>
      </c>
      <c r="H996">
        <f>G996-MIN(F996,G996)</f>
        <v/>
      </c>
      <c r="I996">
        <f>MIN(F996-MIN(F996,G996),D996)</f>
        <v/>
      </c>
      <c r="J996">
        <f>D996-I996</f>
        <v/>
      </c>
      <c r="K996">
        <f>F996-MIN(F996,G996)-I996</f>
        <v/>
      </c>
    </row>
    <row r="997">
      <c r="A997" s="21">
        <f>IF(Rechner!$E$4&lt;&gt;"ok","",IF(Rechner!$E$5+995&lt;=Rechner!$B$6,Rechner!$E$5+995,""))</f>
        <v/>
      </c>
      <c r="B997">
        <f>IF(A997="","",LOOKUP(A997,Basiszins!$A$5:$A$18,Basiszins!$B$5:$B$18))</f>
        <v/>
      </c>
      <c r="C997">
        <f>IF(A997="","",B997+Rechner!$E$7)</f>
        <v/>
      </c>
      <c r="D997">
        <f>J996</f>
        <v/>
      </c>
      <c r="E997">
        <f>IF(A997="",0,D997*C997/100/(DATE(YEAR(A997)+1,1,1)-DATE(YEAR(A997),1,1)))</f>
        <v/>
      </c>
      <c r="F997">
        <f>IF(A997="",0,SUMIF(Rechner!$A$12:$A$21,A997,Rechner!$B$12:$B$21))</f>
        <v/>
      </c>
      <c r="G997">
        <f>H996+E997</f>
        <v/>
      </c>
      <c r="H997">
        <f>G997-MIN(F997,G997)</f>
        <v/>
      </c>
      <c r="I997">
        <f>MIN(F997-MIN(F997,G997),D997)</f>
        <v/>
      </c>
      <c r="J997">
        <f>D997-I997</f>
        <v/>
      </c>
      <c r="K997">
        <f>F997-MIN(F997,G997)-I997</f>
        <v/>
      </c>
    </row>
    <row r="998">
      <c r="A998" s="21">
        <f>IF(Rechner!$E$4&lt;&gt;"ok","",IF(Rechner!$E$5+996&lt;=Rechner!$B$6,Rechner!$E$5+996,""))</f>
        <v/>
      </c>
      <c r="B998">
        <f>IF(A998="","",LOOKUP(A998,Basiszins!$A$5:$A$18,Basiszins!$B$5:$B$18))</f>
        <v/>
      </c>
      <c r="C998">
        <f>IF(A998="","",B998+Rechner!$E$7)</f>
        <v/>
      </c>
      <c r="D998">
        <f>J997</f>
        <v/>
      </c>
      <c r="E998">
        <f>IF(A998="",0,D998*C998/100/(DATE(YEAR(A998)+1,1,1)-DATE(YEAR(A998),1,1)))</f>
        <v/>
      </c>
      <c r="F998">
        <f>IF(A998="",0,SUMIF(Rechner!$A$12:$A$21,A998,Rechner!$B$12:$B$21))</f>
        <v/>
      </c>
      <c r="G998">
        <f>H997+E998</f>
        <v/>
      </c>
      <c r="H998">
        <f>G998-MIN(F998,G998)</f>
        <v/>
      </c>
      <c r="I998">
        <f>MIN(F998-MIN(F998,G998),D998)</f>
        <v/>
      </c>
      <c r="J998">
        <f>D998-I998</f>
        <v/>
      </c>
      <c r="K998">
        <f>F998-MIN(F998,G998)-I998</f>
        <v/>
      </c>
    </row>
    <row r="999">
      <c r="A999" s="21">
        <f>IF(Rechner!$E$4&lt;&gt;"ok","",IF(Rechner!$E$5+997&lt;=Rechner!$B$6,Rechner!$E$5+997,""))</f>
        <v/>
      </c>
      <c r="B999">
        <f>IF(A999="","",LOOKUP(A999,Basiszins!$A$5:$A$18,Basiszins!$B$5:$B$18))</f>
        <v/>
      </c>
      <c r="C999">
        <f>IF(A999="","",B999+Rechner!$E$7)</f>
        <v/>
      </c>
      <c r="D999">
        <f>J998</f>
        <v/>
      </c>
      <c r="E999">
        <f>IF(A999="",0,D999*C999/100/(DATE(YEAR(A999)+1,1,1)-DATE(YEAR(A999),1,1)))</f>
        <v/>
      </c>
      <c r="F999">
        <f>IF(A999="",0,SUMIF(Rechner!$A$12:$A$21,A999,Rechner!$B$12:$B$21))</f>
        <v/>
      </c>
      <c r="G999">
        <f>H998+E999</f>
        <v/>
      </c>
      <c r="H999">
        <f>G999-MIN(F999,G999)</f>
        <v/>
      </c>
      <c r="I999">
        <f>MIN(F999-MIN(F999,G999),D999)</f>
        <v/>
      </c>
      <c r="J999">
        <f>D999-I999</f>
        <v/>
      </c>
      <c r="K999">
        <f>F999-MIN(F999,G999)-I999</f>
        <v/>
      </c>
    </row>
    <row r="1000">
      <c r="A1000" s="21">
        <f>IF(Rechner!$E$4&lt;&gt;"ok","",IF(Rechner!$E$5+998&lt;=Rechner!$B$6,Rechner!$E$5+998,""))</f>
        <v/>
      </c>
      <c r="B1000">
        <f>IF(A1000="","",LOOKUP(A1000,Basiszins!$A$5:$A$18,Basiszins!$B$5:$B$18))</f>
        <v/>
      </c>
      <c r="C1000">
        <f>IF(A1000="","",B1000+Rechner!$E$7)</f>
        <v/>
      </c>
      <c r="D1000">
        <f>J999</f>
        <v/>
      </c>
      <c r="E1000">
        <f>IF(A1000="",0,D1000*C1000/100/(DATE(YEAR(A1000)+1,1,1)-DATE(YEAR(A1000),1,1)))</f>
        <v/>
      </c>
      <c r="F1000">
        <f>IF(A1000="",0,SUMIF(Rechner!$A$12:$A$21,A1000,Rechner!$B$12:$B$21))</f>
        <v/>
      </c>
      <c r="G1000">
        <f>H999+E1000</f>
        <v/>
      </c>
      <c r="H1000">
        <f>G1000-MIN(F1000,G1000)</f>
        <v/>
      </c>
      <c r="I1000">
        <f>MIN(F1000-MIN(F1000,G1000),D1000)</f>
        <v/>
      </c>
      <c r="J1000">
        <f>D1000-I1000</f>
        <v/>
      </c>
      <c r="K1000">
        <f>F1000-MIN(F1000,G1000)-I1000</f>
        <v/>
      </c>
    </row>
    <row r="1001">
      <c r="A1001" s="21">
        <f>IF(Rechner!$E$4&lt;&gt;"ok","",IF(Rechner!$E$5+999&lt;=Rechner!$B$6,Rechner!$E$5+999,""))</f>
        <v/>
      </c>
      <c r="B1001">
        <f>IF(A1001="","",LOOKUP(A1001,Basiszins!$A$5:$A$18,Basiszins!$B$5:$B$18))</f>
        <v/>
      </c>
      <c r="C1001">
        <f>IF(A1001="","",B1001+Rechner!$E$7)</f>
        <v/>
      </c>
      <c r="D1001">
        <f>J1000</f>
        <v/>
      </c>
      <c r="E1001">
        <f>IF(A1001="",0,D1001*C1001/100/(DATE(YEAR(A1001)+1,1,1)-DATE(YEAR(A1001),1,1)))</f>
        <v/>
      </c>
      <c r="F1001">
        <f>IF(A1001="",0,SUMIF(Rechner!$A$12:$A$21,A1001,Rechner!$B$12:$B$21))</f>
        <v/>
      </c>
      <c r="G1001">
        <f>H1000+E1001</f>
        <v/>
      </c>
      <c r="H1001">
        <f>G1001-MIN(F1001,G1001)</f>
        <v/>
      </c>
      <c r="I1001">
        <f>MIN(F1001-MIN(F1001,G1001),D1001)</f>
        <v/>
      </c>
      <c r="J1001">
        <f>D1001-I1001</f>
        <v/>
      </c>
      <c r="K1001">
        <f>F1001-MIN(F1001,G1001)-I1001</f>
        <v/>
      </c>
    </row>
    <row r="1002">
      <c r="A1002" s="21">
        <f>IF(Rechner!$E$4&lt;&gt;"ok","",IF(Rechner!$E$5+1000&lt;=Rechner!$B$6,Rechner!$E$5+1000,""))</f>
        <v/>
      </c>
      <c r="B1002">
        <f>IF(A1002="","",LOOKUP(A1002,Basiszins!$A$5:$A$18,Basiszins!$B$5:$B$18))</f>
        <v/>
      </c>
      <c r="C1002">
        <f>IF(A1002="","",B1002+Rechner!$E$7)</f>
        <v/>
      </c>
      <c r="D1002">
        <f>J1001</f>
        <v/>
      </c>
      <c r="E1002">
        <f>IF(A1002="",0,D1002*C1002/100/(DATE(YEAR(A1002)+1,1,1)-DATE(YEAR(A1002),1,1)))</f>
        <v/>
      </c>
      <c r="F1002">
        <f>IF(A1002="",0,SUMIF(Rechner!$A$12:$A$21,A1002,Rechner!$B$12:$B$21))</f>
        <v/>
      </c>
      <c r="G1002">
        <f>H1001+E1002</f>
        <v/>
      </c>
      <c r="H1002">
        <f>G1002-MIN(F1002,G1002)</f>
        <v/>
      </c>
      <c r="I1002">
        <f>MIN(F1002-MIN(F1002,G1002),D1002)</f>
        <v/>
      </c>
      <c r="J1002">
        <f>D1002-I1002</f>
        <v/>
      </c>
      <c r="K1002">
        <f>F1002-MIN(F1002,G1002)-I1002</f>
        <v/>
      </c>
    </row>
    <row r="1003">
      <c r="A1003" s="21">
        <f>IF(Rechner!$E$4&lt;&gt;"ok","",IF(Rechner!$E$5+1001&lt;=Rechner!$B$6,Rechner!$E$5+1001,""))</f>
        <v/>
      </c>
      <c r="B1003">
        <f>IF(A1003="","",LOOKUP(A1003,Basiszins!$A$5:$A$18,Basiszins!$B$5:$B$18))</f>
        <v/>
      </c>
      <c r="C1003">
        <f>IF(A1003="","",B1003+Rechner!$E$7)</f>
        <v/>
      </c>
      <c r="D1003">
        <f>J1002</f>
        <v/>
      </c>
      <c r="E1003">
        <f>IF(A1003="",0,D1003*C1003/100/(DATE(YEAR(A1003)+1,1,1)-DATE(YEAR(A1003),1,1)))</f>
        <v/>
      </c>
      <c r="F1003">
        <f>IF(A1003="",0,SUMIF(Rechner!$A$12:$A$21,A1003,Rechner!$B$12:$B$21))</f>
        <v/>
      </c>
      <c r="G1003">
        <f>H1002+E1003</f>
        <v/>
      </c>
      <c r="H1003">
        <f>G1003-MIN(F1003,G1003)</f>
        <v/>
      </c>
      <c r="I1003">
        <f>MIN(F1003-MIN(F1003,G1003),D1003)</f>
        <v/>
      </c>
      <c r="J1003">
        <f>D1003-I1003</f>
        <v/>
      </c>
      <c r="K1003">
        <f>F1003-MIN(F1003,G1003)-I1003</f>
        <v/>
      </c>
    </row>
    <row r="1004">
      <c r="A1004" s="21">
        <f>IF(Rechner!$E$4&lt;&gt;"ok","",IF(Rechner!$E$5+1002&lt;=Rechner!$B$6,Rechner!$E$5+1002,""))</f>
        <v/>
      </c>
      <c r="B1004">
        <f>IF(A1004="","",LOOKUP(A1004,Basiszins!$A$5:$A$18,Basiszins!$B$5:$B$18))</f>
        <v/>
      </c>
      <c r="C1004">
        <f>IF(A1004="","",B1004+Rechner!$E$7)</f>
        <v/>
      </c>
      <c r="D1004">
        <f>J1003</f>
        <v/>
      </c>
      <c r="E1004">
        <f>IF(A1004="",0,D1004*C1004/100/(DATE(YEAR(A1004)+1,1,1)-DATE(YEAR(A1004),1,1)))</f>
        <v/>
      </c>
      <c r="F1004">
        <f>IF(A1004="",0,SUMIF(Rechner!$A$12:$A$21,A1004,Rechner!$B$12:$B$21))</f>
        <v/>
      </c>
      <c r="G1004">
        <f>H1003+E1004</f>
        <v/>
      </c>
      <c r="H1004">
        <f>G1004-MIN(F1004,G1004)</f>
        <v/>
      </c>
      <c r="I1004">
        <f>MIN(F1004-MIN(F1004,G1004),D1004)</f>
        <v/>
      </c>
      <c r="J1004">
        <f>D1004-I1004</f>
        <v/>
      </c>
      <c r="K1004">
        <f>F1004-MIN(F1004,G1004)-I1004</f>
        <v/>
      </c>
    </row>
    <row r="1005">
      <c r="A1005" s="21">
        <f>IF(Rechner!$E$4&lt;&gt;"ok","",IF(Rechner!$E$5+1003&lt;=Rechner!$B$6,Rechner!$E$5+1003,""))</f>
        <v/>
      </c>
      <c r="B1005">
        <f>IF(A1005="","",LOOKUP(A1005,Basiszins!$A$5:$A$18,Basiszins!$B$5:$B$18))</f>
        <v/>
      </c>
      <c r="C1005">
        <f>IF(A1005="","",B1005+Rechner!$E$7)</f>
        <v/>
      </c>
      <c r="D1005">
        <f>J1004</f>
        <v/>
      </c>
      <c r="E1005">
        <f>IF(A1005="",0,D1005*C1005/100/(DATE(YEAR(A1005)+1,1,1)-DATE(YEAR(A1005),1,1)))</f>
        <v/>
      </c>
      <c r="F1005">
        <f>IF(A1005="",0,SUMIF(Rechner!$A$12:$A$21,A1005,Rechner!$B$12:$B$21))</f>
        <v/>
      </c>
      <c r="G1005">
        <f>H1004+E1005</f>
        <v/>
      </c>
      <c r="H1005">
        <f>G1005-MIN(F1005,G1005)</f>
        <v/>
      </c>
      <c r="I1005">
        <f>MIN(F1005-MIN(F1005,G1005),D1005)</f>
        <v/>
      </c>
      <c r="J1005">
        <f>D1005-I1005</f>
        <v/>
      </c>
      <c r="K1005">
        <f>F1005-MIN(F1005,G1005)-I1005</f>
        <v/>
      </c>
    </row>
    <row r="1006">
      <c r="A1006" s="21">
        <f>IF(Rechner!$E$4&lt;&gt;"ok","",IF(Rechner!$E$5+1004&lt;=Rechner!$B$6,Rechner!$E$5+1004,""))</f>
        <v/>
      </c>
      <c r="B1006">
        <f>IF(A1006="","",LOOKUP(A1006,Basiszins!$A$5:$A$18,Basiszins!$B$5:$B$18))</f>
        <v/>
      </c>
      <c r="C1006">
        <f>IF(A1006="","",B1006+Rechner!$E$7)</f>
        <v/>
      </c>
      <c r="D1006">
        <f>J1005</f>
        <v/>
      </c>
      <c r="E1006">
        <f>IF(A1006="",0,D1006*C1006/100/(DATE(YEAR(A1006)+1,1,1)-DATE(YEAR(A1006),1,1)))</f>
        <v/>
      </c>
      <c r="F1006">
        <f>IF(A1006="",0,SUMIF(Rechner!$A$12:$A$21,A1006,Rechner!$B$12:$B$21))</f>
        <v/>
      </c>
      <c r="G1006">
        <f>H1005+E1006</f>
        <v/>
      </c>
      <c r="H1006">
        <f>G1006-MIN(F1006,G1006)</f>
        <v/>
      </c>
      <c r="I1006">
        <f>MIN(F1006-MIN(F1006,G1006),D1006)</f>
        <v/>
      </c>
      <c r="J1006">
        <f>D1006-I1006</f>
        <v/>
      </c>
      <c r="K1006">
        <f>F1006-MIN(F1006,G1006)-I1006</f>
        <v/>
      </c>
    </row>
    <row r="1007">
      <c r="A1007" s="21">
        <f>IF(Rechner!$E$4&lt;&gt;"ok","",IF(Rechner!$E$5+1005&lt;=Rechner!$B$6,Rechner!$E$5+1005,""))</f>
        <v/>
      </c>
      <c r="B1007">
        <f>IF(A1007="","",LOOKUP(A1007,Basiszins!$A$5:$A$18,Basiszins!$B$5:$B$18))</f>
        <v/>
      </c>
      <c r="C1007">
        <f>IF(A1007="","",B1007+Rechner!$E$7)</f>
        <v/>
      </c>
      <c r="D1007">
        <f>J1006</f>
        <v/>
      </c>
      <c r="E1007">
        <f>IF(A1007="",0,D1007*C1007/100/(DATE(YEAR(A1007)+1,1,1)-DATE(YEAR(A1007),1,1)))</f>
        <v/>
      </c>
      <c r="F1007">
        <f>IF(A1007="",0,SUMIF(Rechner!$A$12:$A$21,A1007,Rechner!$B$12:$B$21))</f>
        <v/>
      </c>
      <c r="G1007">
        <f>H1006+E1007</f>
        <v/>
      </c>
      <c r="H1007">
        <f>G1007-MIN(F1007,G1007)</f>
        <v/>
      </c>
      <c r="I1007">
        <f>MIN(F1007-MIN(F1007,G1007),D1007)</f>
        <v/>
      </c>
      <c r="J1007">
        <f>D1007-I1007</f>
        <v/>
      </c>
      <c r="K1007">
        <f>F1007-MIN(F1007,G1007)-I1007</f>
        <v/>
      </c>
    </row>
    <row r="1008">
      <c r="A1008" s="21">
        <f>IF(Rechner!$E$4&lt;&gt;"ok","",IF(Rechner!$E$5+1006&lt;=Rechner!$B$6,Rechner!$E$5+1006,""))</f>
        <v/>
      </c>
      <c r="B1008">
        <f>IF(A1008="","",LOOKUP(A1008,Basiszins!$A$5:$A$18,Basiszins!$B$5:$B$18))</f>
        <v/>
      </c>
      <c r="C1008">
        <f>IF(A1008="","",B1008+Rechner!$E$7)</f>
        <v/>
      </c>
      <c r="D1008">
        <f>J1007</f>
        <v/>
      </c>
      <c r="E1008">
        <f>IF(A1008="",0,D1008*C1008/100/(DATE(YEAR(A1008)+1,1,1)-DATE(YEAR(A1008),1,1)))</f>
        <v/>
      </c>
      <c r="F1008">
        <f>IF(A1008="",0,SUMIF(Rechner!$A$12:$A$21,A1008,Rechner!$B$12:$B$21))</f>
        <v/>
      </c>
      <c r="G1008">
        <f>H1007+E1008</f>
        <v/>
      </c>
      <c r="H1008">
        <f>G1008-MIN(F1008,G1008)</f>
        <v/>
      </c>
      <c r="I1008">
        <f>MIN(F1008-MIN(F1008,G1008),D1008)</f>
        <v/>
      </c>
      <c r="J1008">
        <f>D1008-I1008</f>
        <v/>
      </c>
      <c r="K1008">
        <f>F1008-MIN(F1008,G1008)-I1008</f>
        <v/>
      </c>
    </row>
    <row r="1009">
      <c r="A1009" s="21">
        <f>IF(Rechner!$E$4&lt;&gt;"ok","",IF(Rechner!$E$5+1007&lt;=Rechner!$B$6,Rechner!$E$5+1007,""))</f>
        <v/>
      </c>
      <c r="B1009">
        <f>IF(A1009="","",LOOKUP(A1009,Basiszins!$A$5:$A$18,Basiszins!$B$5:$B$18))</f>
        <v/>
      </c>
      <c r="C1009">
        <f>IF(A1009="","",B1009+Rechner!$E$7)</f>
        <v/>
      </c>
      <c r="D1009">
        <f>J1008</f>
        <v/>
      </c>
      <c r="E1009">
        <f>IF(A1009="",0,D1009*C1009/100/(DATE(YEAR(A1009)+1,1,1)-DATE(YEAR(A1009),1,1)))</f>
        <v/>
      </c>
      <c r="F1009">
        <f>IF(A1009="",0,SUMIF(Rechner!$A$12:$A$21,A1009,Rechner!$B$12:$B$21))</f>
        <v/>
      </c>
      <c r="G1009">
        <f>H1008+E1009</f>
        <v/>
      </c>
      <c r="H1009">
        <f>G1009-MIN(F1009,G1009)</f>
        <v/>
      </c>
      <c r="I1009">
        <f>MIN(F1009-MIN(F1009,G1009),D1009)</f>
        <v/>
      </c>
      <c r="J1009">
        <f>D1009-I1009</f>
        <v/>
      </c>
      <c r="K1009">
        <f>F1009-MIN(F1009,G1009)-I1009</f>
        <v/>
      </c>
    </row>
    <row r="1010">
      <c r="A1010" s="21">
        <f>IF(Rechner!$E$4&lt;&gt;"ok","",IF(Rechner!$E$5+1008&lt;=Rechner!$B$6,Rechner!$E$5+1008,""))</f>
        <v/>
      </c>
      <c r="B1010">
        <f>IF(A1010="","",LOOKUP(A1010,Basiszins!$A$5:$A$18,Basiszins!$B$5:$B$18))</f>
        <v/>
      </c>
      <c r="C1010">
        <f>IF(A1010="","",B1010+Rechner!$E$7)</f>
        <v/>
      </c>
      <c r="D1010">
        <f>J1009</f>
        <v/>
      </c>
      <c r="E1010">
        <f>IF(A1010="",0,D1010*C1010/100/(DATE(YEAR(A1010)+1,1,1)-DATE(YEAR(A1010),1,1)))</f>
        <v/>
      </c>
      <c r="F1010">
        <f>IF(A1010="",0,SUMIF(Rechner!$A$12:$A$21,A1010,Rechner!$B$12:$B$21))</f>
        <v/>
      </c>
      <c r="G1010">
        <f>H1009+E1010</f>
        <v/>
      </c>
      <c r="H1010">
        <f>G1010-MIN(F1010,G1010)</f>
        <v/>
      </c>
      <c r="I1010">
        <f>MIN(F1010-MIN(F1010,G1010),D1010)</f>
        <v/>
      </c>
      <c r="J1010">
        <f>D1010-I1010</f>
        <v/>
      </c>
      <c r="K1010">
        <f>F1010-MIN(F1010,G1010)-I1010</f>
        <v/>
      </c>
    </row>
    <row r="1011">
      <c r="A1011" s="21">
        <f>IF(Rechner!$E$4&lt;&gt;"ok","",IF(Rechner!$E$5+1009&lt;=Rechner!$B$6,Rechner!$E$5+1009,""))</f>
        <v/>
      </c>
      <c r="B1011">
        <f>IF(A1011="","",LOOKUP(A1011,Basiszins!$A$5:$A$18,Basiszins!$B$5:$B$18))</f>
        <v/>
      </c>
      <c r="C1011">
        <f>IF(A1011="","",B1011+Rechner!$E$7)</f>
        <v/>
      </c>
      <c r="D1011">
        <f>J1010</f>
        <v/>
      </c>
      <c r="E1011">
        <f>IF(A1011="",0,D1011*C1011/100/(DATE(YEAR(A1011)+1,1,1)-DATE(YEAR(A1011),1,1)))</f>
        <v/>
      </c>
      <c r="F1011">
        <f>IF(A1011="",0,SUMIF(Rechner!$A$12:$A$21,A1011,Rechner!$B$12:$B$21))</f>
        <v/>
      </c>
      <c r="G1011">
        <f>H1010+E1011</f>
        <v/>
      </c>
      <c r="H1011">
        <f>G1011-MIN(F1011,G1011)</f>
        <v/>
      </c>
      <c r="I1011">
        <f>MIN(F1011-MIN(F1011,G1011),D1011)</f>
        <v/>
      </c>
      <c r="J1011">
        <f>D1011-I1011</f>
        <v/>
      </c>
      <c r="K1011">
        <f>F1011-MIN(F1011,G1011)-I1011</f>
        <v/>
      </c>
    </row>
    <row r="1012">
      <c r="A1012" s="21">
        <f>IF(Rechner!$E$4&lt;&gt;"ok","",IF(Rechner!$E$5+1010&lt;=Rechner!$B$6,Rechner!$E$5+1010,""))</f>
        <v/>
      </c>
      <c r="B1012">
        <f>IF(A1012="","",LOOKUP(A1012,Basiszins!$A$5:$A$18,Basiszins!$B$5:$B$18))</f>
        <v/>
      </c>
      <c r="C1012">
        <f>IF(A1012="","",B1012+Rechner!$E$7)</f>
        <v/>
      </c>
      <c r="D1012">
        <f>J1011</f>
        <v/>
      </c>
      <c r="E1012">
        <f>IF(A1012="",0,D1012*C1012/100/(DATE(YEAR(A1012)+1,1,1)-DATE(YEAR(A1012),1,1)))</f>
        <v/>
      </c>
      <c r="F1012">
        <f>IF(A1012="",0,SUMIF(Rechner!$A$12:$A$21,A1012,Rechner!$B$12:$B$21))</f>
        <v/>
      </c>
      <c r="G1012">
        <f>H1011+E1012</f>
        <v/>
      </c>
      <c r="H1012">
        <f>G1012-MIN(F1012,G1012)</f>
        <v/>
      </c>
      <c r="I1012">
        <f>MIN(F1012-MIN(F1012,G1012),D1012)</f>
        <v/>
      </c>
      <c r="J1012">
        <f>D1012-I1012</f>
        <v/>
      </c>
      <c r="K1012">
        <f>F1012-MIN(F1012,G1012)-I1012</f>
        <v/>
      </c>
    </row>
    <row r="1013">
      <c r="A1013" s="21">
        <f>IF(Rechner!$E$4&lt;&gt;"ok","",IF(Rechner!$E$5+1011&lt;=Rechner!$B$6,Rechner!$E$5+1011,""))</f>
        <v/>
      </c>
      <c r="B1013">
        <f>IF(A1013="","",LOOKUP(A1013,Basiszins!$A$5:$A$18,Basiszins!$B$5:$B$18))</f>
        <v/>
      </c>
      <c r="C1013">
        <f>IF(A1013="","",B1013+Rechner!$E$7)</f>
        <v/>
      </c>
      <c r="D1013">
        <f>J1012</f>
        <v/>
      </c>
      <c r="E1013">
        <f>IF(A1013="",0,D1013*C1013/100/(DATE(YEAR(A1013)+1,1,1)-DATE(YEAR(A1013),1,1)))</f>
        <v/>
      </c>
      <c r="F1013">
        <f>IF(A1013="",0,SUMIF(Rechner!$A$12:$A$21,A1013,Rechner!$B$12:$B$21))</f>
        <v/>
      </c>
      <c r="G1013">
        <f>H1012+E1013</f>
        <v/>
      </c>
      <c r="H1013">
        <f>G1013-MIN(F1013,G1013)</f>
        <v/>
      </c>
      <c r="I1013">
        <f>MIN(F1013-MIN(F1013,G1013),D1013)</f>
        <v/>
      </c>
      <c r="J1013">
        <f>D1013-I1013</f>
        <v/>
      </c>
      <c r="K1013">
        <f>F1013-MIN(F1013,G1013)-I1013</f>
        <v/>
      </c>
    </row>
    <row r="1014">
      <c r="A1014" s="21">
        <f>IF(Rechner!$E$4&lt;&gt;"ok","",IF(Rechner!$E$5+1012&lt;=Rechner!$B$6,Rechner!$E$5+1012,""))</f>
        <v/>
      </c>
      <c r="B1014">
        <f>IF(A1014="","",LOOKUP(A1014,Basiszins!$A$5:$A$18,Basiszins!$B$5:$B$18))</f>
        <v/>
      </c>
      <c r="C1014">
        <f>IF(A1014="","",B1014+Rechner!$E$7)</f>
        <v/>
      </c>
      <c r="D1014">
        <f>J1013</f>
        <v/>
      </c>
      <c r="E1014">
        <f>IF(A1014="",0,D1014*C1014/100/(DATE(YEAR(A1014)+1,1,1)-DATE(YEAR(A1014),1,1)))</f>
        <v/>
      </c>
      <c r="F1014">
        <f>IF(A1014="",0,SUMIF(Rechner!$A$12:$A$21,A1014,Rechner!$B$12:$B$21))</f>
        <v/>
      </c>
      <c r="G1014">
        <f>H1013+E1014</f>
        <v/>
      </c>
      <c r="H1014">
        <f>G1014-MIN(F1014,G1014)</f>
        <v/>
      </c>
      <c r="I1014">
        <f>MIN(F1014-MIN(F1014,G1014),D1014)</f>
        <v/>
      </c>
      <c r="J1014">
        <f>D1014-I1014</f>
        <v/>
      </c>
      <c r="K1014">
        <f>F1014-MIN(F1014,G1014)-I1014</f>
        <v/>
      </c>
    </row>
    <row r="1015">
      <c r="A1015" s="21">
        <f>IF(Rechner!$E$4&lt;&gt;"ok","",IF(Rechner!$E$5+1013&lt;=Rechner!$B$6,Rechner!$E$5+1013,""))</f>
        <v/>
      </c>
      <c r="B1015">
        <f>IF(A1015="","",LOOKUP(A1015,Basiszins!$A$5:$A$18,Basiszins!$B$5:$B$18))</f>
        <v/>
      </c>
      <c r="C1015">
        <f>IF(A1015="","",B1015+Rechner!$E$7)</f>
        <v/>
      </c>
      <c r="D1015">
        <f>J1014</f>
        <v/>
      </c>
      <c r="E1015">
        <f>IF(A1015="",0,D1015*C1015/100/(DATE(YEAR(A1015)+1,1,1)-DATE(YEAR(A1015),1,1)))</f>
        <v/>
      </c>
      <c r="F1015">
        <f>IF(A1015="",0,SUMIF(Rechner!$A$12:$A$21,A1015,Rechner!$B$12:$B$21))</f>
        <v/>
      </c>
      <c r="G1015">
        <f>H1014+E1015</f>
        <v/>
      </c>
      <c r="H1015">
        <f>G1015-MIN(F1015,G1015)</f>
        <v/>
      </c>
      <c r="I1015">
        <f>MIN(F1015-MIN(F1015,G1015),D1015)</f>
        <v/>
      </c>
      <c r="J1015">
        <f>D1015-I1015</f>
        <v/>
      </c>
      <c r="K1015">
        <f>F1015-MIN(F1015,G1015)-I1015</f>
        <v/>
      </c>
    </row>
    <row r="1016">
      <c r="A1016" s="21">
        <f>IF(Rechner!$E$4&lt;&gt;"ok","",IF(Rechner!$E$5+1014&lt;=Rechner!$B$6,Rechner!$E$5+1014,""))</f>
        <v/>
      </c>
      <c r="B1016">
        <f>IF(A1016="","",LOOKUP(A1016,Basiszins!$A$5:$A$18,Basiszins!$B$5:$B$18))</f>
        <v/>
      </c>
      <c r="C1016">
        <f>IF(A1016="","",B1016+Rechner!$E$7)</f>
        <v/>
      </c>
      <c r="D1016">
        <f>J1015</f>
        <v/>
      </c>
      <c r="E1016">
        <f>IF(A1016="",0,D1016*C1016/100/(DATE(YEAR(A1016)+1,1,1)-DATE(YEAR(A1016),1,1)))</f>
        <v/>
      </c>
      <c r="F1016">
        <f>IF(A1016="",0,SUMIF(Rechner!$A$12:$A$21,A1016,Rechner!$B$12:$B$21))</f>
        <v/>
      </c>
      <c r="G1016">
        <f>H1015+E1016</f>
        <v/>
      </c>
      <c r="H1016">
        <f>G1016-MIN(F1016,G1016)</f>
        <v/>
      </c>
      <c r="I1016">
        <f>MIN(F1016-MIN(F1016,G1016),D1016)</f>
        <v/>
      </c>
      <c r="J1016">
        <f>D1016-I1016</f>
        <v/>
      </c>
      <c r="K1016">
        <f>F1016-MIN(F1016,G1016)-I1016</f>
        <v/>
      </c>
    </row>
    <row r="1017">
      <c r="A1017" s="21">
        <f>IF(Rechner!$E$4&lt;&gt;"ok","",IF(Rechner!$E$5+1015&lt;=Rechner!$B$6,Rechner!$E$5+1015,""))</f>
        <v/>
      </c>
      <c r="B1017">
        <f>IF(A1017="","",LOOKUP(A1017,Basiszins!$A$5:$A$18,Basiszins!$B$5:$B$18))</f>
        <v/>
      </c>
      <c r="C1017">
        <f>IF(A1017="","",B1017+Rechner!$E$7)</f>
        <v/>
      </c>
      <c r="D1017">
        <f>J1016</f>
        <v/>
      </c>
      <c r="E1017">
        <f>IF(A1017="",0,D1017*C1017/100/(DATE(YEAR(A1017)+1,1,1)-DATE(YEAR(A1017),1,1)))</f>
        <v/>
      </c>
      <c r="F1017">
        <f>IF(A1017="",0,SUMIF(Rechner!$A$12:$A$21,A1017,Rechner!$B$12:$B$21))</f>
        <v/>
      </c>
      <c r="G1017">
        <f>H1016+E1017</f>
        <v/>
      </c>
      <c r="H1017">
        <f>G1017-MIN(F1017,G1017)</f>
        <v/>
      </c>
      <c r="I1017">
        <f>MIN(F1017-MIN(F1017,G1017),D1017)</f>
        <v/>
      </c>
      <c r="J1017">
        <f>D1017-I1017</f>
        <v/>
      </c>
      <c r="K1017">
        <f>F1017-MIN(F1017,G1017)-I1017</f>
        <v/>
      </c>
    </row>
    <row r="1018">
      <c r="A1018" s="21">
        <f>IF(Rechner!$E$4&lt;&gt;"ok","",IF(Rechner!$E$5+1016&lt;=Rechner!$B$6,Rechner!$E$5+1016,""))</f>
        <v/>
      </c>
      <c r="B1018">
        <f>IF(A1018="","",LOOKUP(A1018,Basiszins!$A$5:$A$18,Basiszins!$B$5:$B$18))</f>
        <v/>
      </c>
      <c r="C1018">
        <f>IF(A1018="","",B1018+Rechner!$E$7)</f>
        <v/>
      </c>
      <c r="D1018">
        <f>J1017</f>
        <v/>
      </c>
      <c r="E1018">
        <f>IF(A1018="",0,D1018*C1018/100/(DATE(YEAR(A1018)+1,1,1)-DATE(YEAR(A1018),1,1)))</f>
        <v/>
      </c>
      <c r="F1018">
        <f>IF(A1018="",0,SUMIF(Rechner!$A$12:$A$21,A1018,Rechner!$B$12:$B$21))</f>
        <v/>
      </c>
      <c r="G1018">
        <f>H1017+E1018</f>
        <v/>
      </c>
      <c r="H1018">
        <f>G1018-MIN(F1018,G1018)</f>
        <v/>
      </c>
      <c r="I1018">
        <f>MIN(F1018-MIN(F1018,G1018),D1018)</f>
        <v/>
      </c>
      <c r="J1018">
        <f>D1018-I1018</f>
        <v/>
      </c>
      <c r="K1018">
        <f>F1018-MIN(F1018,G1018)-I1018</f>
        <v/>
      </c>
    </row>
    <row r="1019">
      <c r="A1019" s="21">
        <f>IF(Rechner!$E$4&lt;&gt;"ok","",IF(Rechner!$E$5+1017&lt;=Rechner!$B$6,Rechner!$E$5+1017,""))</f>
        <v/>
      </c>
      <c r="B1019">
        <f>IF(A1019="","",LOOKUP(A1019,Basiszins!$A$5:$A$18,Basiszins!$B$5:$B$18))</f>
        <v/>
      </c>
      <c r="C1019">
        <f>IF(A1019="","",B1019+Rechner!$E$7)</f>
        <v/>
      </c>
      <c r="D1019">
        <f>J1018</f>
        <v/>
      </c>
      <c r="E1019">
        <f>IF(A1019="",0,D1019*C1019/100/(DATE(YEAR(A1019)+1,1,1)-DATE(YEAR(A1019),1,1)))</f>
        <v/>
      </c>
      <c r="F1019">
        <f>IF(A1019="",0,SUMIF(Rechner!$A$12:$A$21,A1019,Rechner!$B$12:$B$21))</f>
        <v/>
      </c>
      <c r="G1019">
        <f>H1018+E1019</f>
        <v/>
      </c>
      <c r="H1019">
        <f>G1019-MIN(F1019,G1019)</f>
        <v/>
      </c>
      <c r="I1019">
        <f>MIN(F1019-MIN(F1019,G1019),D1019)</f>
        <v/>
      </c>
      <c r="J1019">
        <f>D1019-I1019</f>
        <v/>
      </c>
      <c r="K1019">
        <f>F1019-MIN(F1019,G1019)-I1019</f>
        <v/>
      </c>
    </row>
    <row r="1020">
      <c r="A1020" s="21">
        <f>IF(Rechner!$E$4&lt;&gt;"ok","",IF(Rechner!$E$5+1018&lt;=Rechner!$B$6,Rechner!$E$5+1018,""))</f>
        <v/>
      </c>
      <c r="B1020">
        <f>IF(A1020="","",LOOKUP(A1020,Basiszins!$A$5:$A$18,Basiszins!$B$5:$B$18))</f>
        <v/>
      </c>
      <c r="C1020">
        <f>IF(A1020="","",B1020+Rechner!$E$7)</f>
        <v/>
      </c>
      <c r="D1020">
        <f>J1019</f>
        <v/>
      </c>
      <c r="E1020">
        <f>IF(A1020="",0,D1020*C1020/100/(DATE(YEAR(A1020)+1,1,1)-DATE(YEAR(A1020),1,1)))</f>
        <v/>
      </c>
      <c r="F1020">
        <f>IF(A1020="",0,SUMIF(Rechner!$A$12:$A$21,A1020,Rechner!$B$12:$B$21))</f>
        <v/>
      </c>
      <c r="G1020">
        <f>H1019+E1020</f>
        <v/>
      </c>
      <c r="H1020">
        <f>G1020-MIN(F1020,G1020)</f>
        <v/>
      </c>
      <c r="I1020">
        <f>MIN(F1020-MIN(F1020,G1020),D1020)</f>
        <v/>
      </c>
      <c r="J1020">
        <f>D1020-I1020</f>
        <v/>
      </c>
      <c r="K1020">
        <f>F1020-MIN(F1020,G1020)-I1020</f>
        <v/>
      </c>
    </row>
    <row r="1021">
      <c r="A1021" s="21">
        <f>IF(Rechner!$E$4&lt;&gt;"ok","",IF(Rechner!$E$5+1019&lt;=Rechner!$B$6,Rechner!$E$5+1019,""))</f>
        <v/>
      </c>
      <c r="B1021">
        <f>IF(A1021="","",LOOKUP(A1021,Basiszins!$A$5:$A$18,Basiszins!$B$5:$B$18))</f>
        <v/>
      </c>
      <c r="C1021">
        <f>IF(A1021="","",B1021+Rechner!$E$7)</f>
        <v/>
      </c>
      <c r="D1021">
        <f>J1020</f>
        <v/>
      </c>
      <c r="E1021">
        <f>IF(A1021="",0,D1021*C1021/100/(DATE(YEAR(A1021)+1,1,1)-DATE(YEAR(A1021),1,1)))</f>
        <v/>
      </c>
      <c r="F1021">
        <f>IF(A1021="",0,SUMIF(Rechner!$A$12:$A$21,A1021,Rechner!$B$12:$B$21))</f>
        <v/>
      </c>
      <c r="G1021">
        <f>H1020+E1021</f>
        <v/>
      </c>
      <c r="H1021">
        <f>G1021-MIN(F1021,G1021)</f>
        <v/>
      </c>
      <c r="I1021">
        <f>MIN(F1021-MIN(F1021,G1021),D1021)</f>
        <v/>
      </c>
      <c r="J1021">
        <f>D1021-I1021</f>
        <v/>
      </c>
      <c r="K1021">
        <f>F1021-MIN(F1021,G1021)-I1021</f>
        <v/>
      </c>
    </row>
    <row r="1022">
      <c r="A1022" s="21">
        <f>IF(Rechner!$E$4&lt;&gt;"ok","",IF(Rechner!$E$5+1020&lt;=Rechner!$B$6,Rechner!$E$5+1020,""))</f>
        <v/>
      </c>
      <c r="B1022">
        <f>IF(A1022="","",LOOKUP(A1022,Basiszins!$A$5:$A$18,Basiszins!$B$5:$B$18))</f>
        <v/>
      </c>
      <c r="C1022">
        <f>IF(A1022="","",B1022+Rechner!$E$7)</f>
        <v/>
      </c>
      <c r="D1022">
        <f>J1021</f>
        <v/>
      </c>
      <c r="E1022">
        <f>IF(A1022="",0,D1022*C1022/100/(DATE(YEAR(A1022)+1,1,1)-DATE(YEAR(A1022),1,1)))</f>
        <v/>
      </c>
      <c r="F1022">
        <f>IF(A1022="",0,SUMIF(Rechner!$A$12:$A$21,A1022,Rechner!$B$12:$B$21))</f>
        <v/>
      </c>
      <c r="G1022">
        <f>H1021+E1022</f>
        <v/>
      </c>
      <c r="H1022">
        <f>G1022-MIN(F1022,G1022)</f>
        <v/>
      </c>
      <c r="I1022">
        <f>MIN(F1022-MIN(F1022,G1022),D1022)</f>
        <v/>
      </c>
      <c r="J1022">
        <f>D1022-I1022</f>
        <v/>
      </c>
      <c r="K1022">
        <f>F1022-MIN(F1022,G1022)-I1022</f>
        <v/>
      </c>
    </row>
    <row r="1023">
      <c r="A1023" s="21">
        <f>IF(Rechner!$E$4&lt;&gt;"ok","",IF(Rechner!$E$5+1021&lt;=Rechner!$B$6,Rechner!$E$5+1021,""))</f>
        <v/>
      </c>
      <c r="B1023">
        <f>IF(A1023="","",LOOKUP(A1023,Basiszins!$A$5:$A$18,Basiszins!$B$5:$B$18))</f>
        <v/>
      </c>
      <c r="C1023">
        <f>IF(A1023="","",B1023+Rechner!$E$7)</f>
        <v/>
      </c>
      <c r="D1023">
        <f>J1022</f>
        <v/>
      </c>
      <c r="E1023">
        <f>IF(A1023="",0,D1023*C1023/100/(DATE(YEAR(A1023)+1,1,1)-DATE(YEAR(A1023),1,1)))</f>
        <v/>
      </c>
      <c r="F1023">
        <f>IF(A1023="",0,SUMIF(Rechner!$A$12:$A$21,A1023,Rechner!$B$12:$B$21))</f>
        <v/>
      </c>
      <c r="G1023">
        <f>H1022+E1023</f>
        <v/>
      </c>
      <c r="H1023">
        <f>G1023-MIN(F1023,G1023)</f>
        <v/>
      </c>
      <c r="I1023">
        <f>MIN(F1023-MIN(F1023,G1023),D1023)</f>
        <v/>
      </c>
      <c r="J1023">
        <f>D1023-I1023</f>
        <v/>
      </c>
      <c r="K1023">
        <f>F1023-MIN(F1023,G1023)-I1023</f>
        <v/>
      </c>
    </row>
    <row r="1024">
      <c r="A1024" s="21">
        <f>IF(Rechner!$E$4&lt;&gt;"ok","",IF(Rechner!$E$5+1022&lt;=Rechner!$B$6,Rechner!$E$5+1022,""))</f>
        <v/>
      </c>
      <c r="B1024">
        <f>IF(A1024="","",LOOKUP(A1024,Basiszins!$A$5:$A$18,Basiszins!$B$5:$B$18))</f>
        <v/>
      </c>
      <c r="C1024">
        <f>IF(A1024="","",B1024+Rechner!$E$7)</f>
        <v/>
      </c>
      <c r="D1024">
        <f>J1023</f>
        <v/>
      </c>
      <c r="E1024">
        <f>IF(A1024="",0,D1024*C1024/100/(DATE(YEAR(A1024)+1,1,1)-DATE(YEAR(A1024),1,1)))</f>
        <v/>
      </c>
      <c r="F1024">
        <f>IF(A1024="",0,SUMIF(Rechner!$A$12:$A$21,A1024,Rechner!$B$12:$B$21))</f>
        <v/>
      </c>
      <c r="G1024">
        <f>H1023+E1024</f>
        <v/>
      </c>
      <c r="H1024">
        <f>G1024-MIN(F1024,G1024)</f>
        <v/>
      </c>
      <c r="I1024">
        <f>MIN(F1024-MIN(F1024,G1024),D1024)</f>
        <v/>
      </c>
      <c r="J1024">
        <f>D1024-I1024</f>
        <v/>
      </c>
      <c r="K1024">
        <f>F1024-MIN(F1024,G1024)-I1024</f>
        <v/>
      </c>
    </row>
    <row r="1025">
      <c r="A1025" s="21">
        <f>IF(Rechner!$E$4&lt;&gt;"ok","",IF(Rechner!$E$5+1023&lt;=Rechner!$B$6,Rechner!$E$5+1023,""))</f>
        <v/>
      </c>
      <c r="B1025">
        <f>IF(A1025="","",LOOKUP(A1025,Basiszins!$A$5:$A$18,Basiszins!$B$5:$B$18))</f>
        <v/>
      </c>
      <c r="C1025">
        <f>IF(A1025="","",B1025+Rechner!$E$7)</f>
        <v/>
      </c>
      <c r="D1025">
        <f>J1024</f>
        <v/>
      </c>
      <c r="E1025">
        <f>IF(A1025="",0,D1025*C1025/100/(DATE(YEAR(A1025)+1,1,1)-DATE(YEAR(A1025),1,1)))</f>
        <v/>
      </c>
      <c r="F1025">
        <f>IF(A1025="",0,SUMIF(Rechner!$A$12:$A$21,A1025,Rechner!$B$12:$B$21))</f>
        <v/>
      </c>
      <c r="G1025">
        <f>H1024+E1025</f>
        <v/>
      </c>
      <c r="H1025">
        <f>G1025-MIN(F1025,G1025)</f>
        <v/>
      </c>
      <c r="I1025">
        <f>MIN(F1025-MIN(F1025,G1025),D1025)</f>
        <v/>
      </c>
      <c r="J1025">
        <f>D1025-I1025</f>
        <v/>
      </c>
      <c r="K1025">
        <f>F1025-MIN(F1025,G1025)-I1025</f>
        <v/>
      </c>
    </row>
    <row r="1026">
      <c r="A1026" s="21">
        <f>IF(Rechner!$E$4&lt;&gt;"ok","",IF(Rechner!$E$5+1024&lt;=Rechner!$B$6,Rechner!$E$5+1024,""))</f>
        <v/>
      </c>
      <c r="B1026">
        <f>IF(A1026="","",LOOKUP(A1026,Basiszins!$A$5:$A$18,Basiszins!$B$5:$B$18))</f>
        <v/>
      </c>
      <c r="C1026">
        <f>IF(A1026="","",B1026+Rechner!$E$7)</f>
        <v/>
      </c>
      <c r="D1026">
        <f>J1025</f>
        <v/>
      </c>
      <c r="E1026">
        <f>IF(A1026="",0,D1026*C1026/100/(DATE(YEAR(A1026)+1,1,1)-DATE(YEAR(A1026),1,1)))</f>
        <v/>
      </c>
      <c r="F1026">
        <f>IF(A1026="",0,SUMIF(Rechner!$A$12:$A$21,A1026,Rechner!$B$12:$B$21))</f>
        <v/>
      </c>
      <c r="G1026">
        <f>H1025+E1026</f>
        <v/>
      </c>
      <c r="H1026">
        <f>G1026-MIN(F1026,G1026)</f>
        <v/>
      </c>
      <c r="I1026">
        <f>MIN(F1026-MIN(F1026,G1026),D1026)</f>
        <v/>
      </c>
      <c r="J1026">
        <f>D1026-I1026</f>
        <v/>
      </c>
      <c r="K1026">
        <f>F1026-MIN(F1026,G1026)-I1026</f>
        <v/>
      </c>
    </row>
    <row r="1027">
      <c r="A1027" s="21">
        <f>IF(Rechner!$E$4&lt;&gt;"ok","",IF(Rechner!$E$5+1025&lt;=Rechner!$B$6,Rechner!$E$5+1025,""))</f>
        <v/>
      </c>
      <c r="B1027">
        <f>IF(A1027="","",LOOKUP(A1027,Basiszins!$A$5:$A$18,Basiszins!$B$5:$B$18))</f>
        <v/>
      </c>
      <c r="C1027">
        <f>IF(A1027="","",B1027+Rechner!$E$7)</f>
        <v/>
      </c>
      <c r="D1027">
        <f>J1026</f>
        <v/>
      </c>
      <c r="E1027">
        <f>IF(A1027="",0,D1027*C1027/100/(DATE(YEAR(A1027)+1,1,1)-DATE(YEAR(A1027),1,1)))</f>
        <v/>
      </c>
      <c r="F1027">
        <f>IF(A1027="",0,SUMIF(Rechner!$A$12:$A$21,A1027,Rechner!$B$12:$B$21))</f>
        <v/>
      </c>
      <c r="G1027">
        <f>H1026+E1027</f>
        <v/>
      </c>
      <c r="H1027">
        <f>G1027-MIN(F1027,G1027)</f>
        <v/>
      </c>
      <c r="I1027">
        <f>MIN(F1027-MIN(F1027,G1027),D1027)</f>
        <v/>
      </c>
      <c r="J1027">
        <f>D1027-I1027</f>
        <v/>
      </c>
      <c r="K1027">
        <f>F1027-MIN(F1027,G1027)-I1027</f>
        <v/>
      </c>
    </row>
    <row r="1028">
      <c r="A1028" s="21">
        <f>IF(Rechner!$E$4&lt;&gt;"ok","",IF(Rechner!$E$5+1026&lt;=Rechner!$B$6,Rechner!$E$5+1026,""))</f>
        <v/>
      </c>
      <c r="B1028">
        <f>IF(A1028="","",LOOKUP(A1028,Basiszins!$A$5:$A$18,Basiszins!$B$5:$B$18))</f>
        <v/>
      </c>
      <c r="C1028">
        <f>IF(A1028="","",B1028+Rechner!$E$7)</f>
        <v/>
      </c>
      <c r="D1028">
        <f>J1027</f>
        <v/>
      </c>
      <c r="E1028">
        <f>IF(A1028="",0,D1028*C1028/100/(DATE(YEAR(A1028)+1,1,1)-DATE(YEAR(A1028),1,1)))</f>
        <v/>
      </c>
      <c r="F1028">
        <f>IF(A1028="",0,SUMIF(Rechner!$A$12:$A$21,A1028,Rechner!$B$12:$B$21))</f>
        <v/>
      </c>
      <c r="G1028">
        <f>H1027+E1028</f>
        <v/>
      </c>
      <c r="H1028">
        <f>G1028-MIN(F1028,G1028)</f>
        <v/>
      </c>
      <c r="I1028">
        <f>MIN(F1028-MIN(F1028,G1028),D1028)</f>
        <v/>
      </c>
      <c r="J1028">
        <f>D1028-I1028</f>
        <v/>
      </c>
      <c r="K1028">
        <f>F1028-MIN(F1028,G1028)-I1028</f>
        <v/>
      </c>
    </row>
    <row r="1029">
      <c r="A1029" s="21">
        <f>IF(Rechner!$E$4&lt;&gt;"ok","",IF(Rechner!$E$5+1027&lt;=Rechner!$B$6,Rechner!$E$5+1027,""))</f>
        <v/>
      </c>
      <c r="B1029">
        <f>IF(A1029="","",LOOKUP(A1029,Basiszins!$A$5:$A$18,Basiszins!$B$5:$B$18))</f>
        <v/>
      </c>
      <c r="C1029">
        <f>IF(A1029="","",B1029+Rechner!$E$7)</f>
        <v/>
      </c>
      <c r="D1029">
        <f>J1028</f>
        <v/>
      </c>
      <c r="E1029">
        <f>IF(A1029="",0,D1029*C1029/100/(DATE(YEAR(A1029)+1,1,1)-DATE(YEAR(A1029),1,1)))</f>
        <v/>
      </c>
      <c r="F1029">
        <f>IF(A1029="",0,SUMIF(Rechner!$A$12:$A$21,A1029,Rechner!$B$12:$B$21))</f>
        <v/>
      </c>
      <c r="G1029">
        <f>H1028+E1029</f>
        <v/>
      </c>
      <c r="H1029">
        <f>G1029-MIN(F1029,G1029)</f>
        <v/>
      </c>
      <c r="I1029">
        <f>MIN(F1029-MIN(F1029,G1029),D1029)</f>
        <v/>
      </c>
      <c r="J1029">
        <f>D1029-I1029</f>
        <v/>
      </c>
      <c r="K1029">
        <f>F1029-MIN(F1029,G1029)-I1029</f>
        <v/>
      </c>
    </row>
    <row r="1030">
      <c r="A1030" s="21">
        <f>IF(Rechner!$E$4&lt;&gt;"ok","",IF(Rechner!$E$5+1028&lt;=Rechner!$B$6,Rechner!$E$5+1028,""))</f>
        <v/>
      </c>
      <c r="B1030">
        <f>IF(A1030="","",LOOKUP(A1030,Basiszins!$A$5:$A$18,Basiszins!$B$5:$B$18))</f>
        <v/>
      </c>
      <c r="C1030">
        <f>IF(A1030="","",B1030+Rechner!$E$7)</f>
        <v/>
      </c>
      <c r="D1030">
        <f>J1029</f>
        <v/>
      </c>
      <c r="E1030">
        <f>IF(A1030="",0,D1030*C1030/100/(DATE(YEAR(A1030)+1,1,1)-DATE(YEAR(A1030),1,1)))</f>
        <v/>
      </c>
      <c r="F1030">
        <f>IF(A1030="",0,SUMIF(Rechner!$A$12:$A$21,A1030,Rechner!$B$12:$B$21))</f>
        <v/>
      </c>
      <c r="G1030">
        <f>H1029+E1030</f>
        <v/>
      </c>
      <c r="H1030">
        <f>G1030-MIN(F1030,G1030)</f>
        <v/>
      </c>
      <c r="I1030">
        <f>MIN(F1030-MIN(F1030,G1030),D1030)</f>
        <v/>
      </c>
      <c r="J1030">
        <f>D1030-I1030</f>
        <v/>
      </c>
      <c r="K1030">
        <f>F1030-MIN(F1030,G1030)-I1030</f>
        <v/>
      </c>
    </row>
    <row r="1031">
      <c r="A1031" s="21">
        <f>IF(Rechner!$E$4&lt;&gt;"ok","",IF(Rechner!$E$5+1029&lt;=Rechner!$B$6,Rechner!$E$5+1029,""))</f>
        <v/>
      </c>
      <c r="B1031">
        <f>IF(A1031="","",LOOKUP(A1031,Basiszins!$A$5:$A$18,Basiszins!$B$5:$B$18))</f>
        <v/>
      </c>
      <c r="C1031">
        <f>IF(A1031="","",B1031+Rechner!$E$7)</f>
        <v/>
      </c>
      <c r="D1031">
        <f>J1030</f>
        <v/>
      </c>
      <c r="E1031">
        <f>IF(A1031="",0,D1031*C1031/100/(DATE(YEAR(A1031)+1,1,1)-DATE(YEAR(A1031),1,1)))</f>
        <v/>
      </c>
      <c r="F1031">
        <f>IF(A1031="",0,SUMIF(Rechner!$A$12:$A$21,A1031,Rechner!$B$12:$B$21))</f>
        <v/>
      </c>
      <c r="G1031">
        <f>H1030+E1031</f>
        <v/>
      </c>
      <c r="H1031">
        <f>G1031-MIN(F1031,G1031)</f>
        <v/>
      </c>
      <c r="I1031">
        <f>MIN(F1031-MIN(F1031,G1031),D1031)</f>
        <v/>
      </c>
      <c r="J1031">
        <f>D1031-I1031</f>
        <v/>
      </c>
      <c r="K1031">
        <f>F1031-MIN(F1031,G1031)-I1031</f>
        <v/>
      </c>
    </row>
    <row r="1032">
      <c r="A1032" s="21">
        <f>IF(Rechner!$E$4&lt;&gt;"ok","",IF(Rechner!$E$5+1030&lt;=Rechner!$B$6,Rechner!$E$5+1030,""))</f>
        <v/>
      </c>
      <c r="B1032">
        <f>IF(A1032="","",LOOKUP(A1032,Basiszins!$A$5:$A$18,Basiszins!$B$5:$B$18))</f>
        <v/>
      </c>
      <c r="C1032">
        <f>IF(A1032="","",B1032+Rechner!$E$7)</f>
        <v/>
      </c>
      <c r="D1032">
        <f>J1031</f>
        <v/>
      </c>
      <c r="E1032">
        <f>IF(A1032="",0,D1032*C1032/100/(DATE(YEAR(A1032)+1,1,1)-DATE(YEAR(A1032),1,1)))</f>
        <v/>
      </c>
      <c r="F1032">
        <f>IF(A1032="",0,SUMIF(Rechner!$A$12:$A$21,A1032,Rechner!$B$12:$B$21))</f>
        <v/>
      </c>
      <c r="G1032">
        <f>H1031+E1032</f>
        <v/>
      </c>
      <c r="H1032">
        <f>G1032-MIN(F1032,G1032)</f>
        <v/>
      </c>
      <c r="I1032">
        <f>MIN(F1032-MIN(F1032,G1032),D1032)</f>
        <v/>
      </c>
      <c r="J1032">
        <f>D1032-I1032</f>
        <v/>
      </c>
      <c r="K1032">
        <f>F1032-MIN(F1032,G1032)-I1032</f>
        <v/>
      </c>
    </row>
    <row r="1033">
      <c r="A1033" s="21">
        <f>IF(Rechner!$E$4&lt;&gt;"ok","",IF(Rechner!$E$5+1031&lt;=Rechner!$B$6,Rechner!$E$5+1031,""))</f>
        <v/>
      </c>
      <c r="B1033">
        <f>IF(A1033="","",LOOKUP(A1033,Basiszins!$A$5:$A$18,Basiszins!$B$5:$B$18))</f>
        <v/>
      </c>
      <c r="C1033">
        <f>IF(A1033="","",B1033+Rechner!$E$7)</f>
        <v/>
      </c>
      <c r="D1033">
        <f>J1032</f>
        <v/>
      </c>
      <c r="E1033">
        <f>IF(A1033="",0,D1033*C1033/100/(DATE(YEAR(A1033)+1,1,1)-DATE(YEAR(A1033),1,1)))</f>
        <v/>
      </c>
      <c r="F1033">
        <f>IF(A1033="",0,SUMIF(Rechner!$A$12:$A$21,A1033,Rechner!$B$12:$B$21))</f>
        <v/>
      </c>
      <c r="G1033">
        <f>H1032+E1033</f>
        <v/>
      </c>
      <c r="H1033">
        <f>G1033-MIN(F1033,G1033)</f>
        <v/>
      </c>
      <c r="I1033">
        <f>MIN(F1033-MIN(F1033,G1033),D1033)</f>
        <v/>
      </c>
      <c r="J1033">
        <f>D1033-I1033</f>
        <v/>
      </c>
      <c r="K1033">
        <f>F1033-MIN(F1033,G1033)-I1033</f>
        <v/>
      </c>
    </row>
    <row r="1034">
      <c r="A1034" s="21">
        <f>IF(Rechner!$E$4&lt;&gt;"ok","",IF(Rechner!$E$5+1032&lt;=Rechner!$B$6,Rechner!$E$5+1032,""))</f>
        <v/>
      </c>
      <c r="B1034">
        <f>IF(A1034="","",LOOKUP(A1034,Basiszins!$A$5:$A$18,Basiszins!$B$5:$B$18))</f>
        <v/>
      </c>
      <c r="C1034">
        <f>IF(A1034="","",B1034+Rechner!$E$7)</f>
        <v/>
      </c>
      <c r="D1034">
        <f>J1033</f>
        <v/>
      </c>
      <c r="E1034">
        <f>IF(A1034="",0,D1034*C1034/100/(DATE(YEAR(A1034)+1,1,1)-DATE(YEAR(A1034),1,1)))</f>
        <v/>
      </c>
      <c r="F1034">
        <f>IF(A1034="",0,SUMIF(Rechner!$A$12:$A$21,A1034,Rechner!$B$12:$B$21))</f>
        <v/>
      </c>
      <c r="G1034">
        <f>H1033+E1034</f>
        <v/>
      </c>
      <c r="H1034">
        <f>G1034-MIN(F1034,G1034)</f>
        <v/>
      </c>
      <c r="I1034">
        <f>MIN(F1034-MIN(F1034,G1034),D1034)</f>
        <v/>
      </c>
      <c r="J1034">
        <f>D1034-I1034</f>
        <v/>
      </c>
      <c r="K1034">
        <f>F1034-MIN(F1034,G1034)-I1034</f>
        <v/>
      </c>
    </row>
    <row r="1035">
      <c r="A1035" s="21">
        <f>IF(Rechner!$E$4&lt;&gt;"ok","",IF(Rechner!$E$5+1033&lt;=Rechner!$B$6,Rechner!$E$5+1033,""))</f>
        <v/>
      </c>
      <c r="B1035">
        <f>IF(A1035="","",LOOKUP(A1035,Basiszins!$A$5:$A$18,Basiszins!$B$5:$B$18))</f>
        <v/>
      </c>
      <c r="C1035">
        <f>IF(A1035="","",B1035+Rechner!$E$7)</f>
        <v/>
      </c>
      <c r="D1035">
        <f>J1034</f>
        <v/>
      </c>
      <c r="E1035">
        <f>IF(A1035="",0,D1035*C1035/100/(DATE(YEAR(A1035)+1,1,1)-DATE(YEAR(A1035),1,1)))</f>
        <v/>
      </c>
      <c r="F1035">
        <f>IF(A1035="",0,SUMIF(Rechner!$A$12:$A$21,A1035,Rechner!$B$12:$B$21))</f>
        <v/>
      </c>
      <c r="G1035">
        <f>H1034+E1035</f>
        <v/>
      </c>
      <c r="H1035">
        <f>G1035-MIN(F1035,G1035)</f>
        <v/>
      </c>
      <c r="I1035">
        <f>MIN(F1035-MIN(F1035,G1035),D1035)</f>
        <v/>
      </c>
      <c r="J1035">
        <f>D1035-I1035</f>
        <v/>
      </c>
      <c r="K1035">
        <f>F1035-MIN(F1035,G1035)-I1035</f>
        <v/>
      </c>
    </row>
    <row r="1036">
      <c r="A1036" s="21">
        <f>IF(Rechner!$E$4&lt;&gt;"ok","",IF(Rechner!$E$5+1034&lt;=Rechner!$B$6,Rechner!$E$5+1034,""))</f>
        <v/>
      </c>
      <c r="B1036">
        <f>IF(A1036="","",LOOKUP(A1036,Basiszins!$A$5:$A$18,Basiszins!$B$5:$B$18))</f>
        <v/>
      </c>
      <c r="C1036">
        <f>IF(A1036="","",B1036+Rechner!$E$7)</f>
        <v/>
      </c>
      <c r="D1036">
        <f>J1035</f>
        <v/>
      </c>
      <c r="E1036">
        <f>IF(A1036="",0,D1036*C1036/100/(DATE(YEAR(A1036)+1,1,1)-DATE(YEAR(A1036),1,1)))</f>
        <v/>
      </c>
      <c r="F1036">
        <f>IF(A1036="",0,SUMIF(Rechner!$A$12:$A$21,A1036,Rechner!$B$12:$B$21))</f>
        <v/>
      </c>
      <c r="G1036">
        <f>H1035+E1036</f>
        <v/>
      </c>
      <c r="H1036">
        <f>G1036-MIN(F1036,G1036)</f>
        <v/>
      </c>
      <c r="I1036">
        <f>MIN(F1036-MIN(F1036,G1036),D1036)</f>
        <v/>
      </c>
      <c r="J1036">
        <f>D1036-I1036</f>
        <v/>
      </c>
      <c r="K1036">
        <f>F1036-MIN(F1036,G1036)-I1036</f>
        <v/>
      </c>
    </row>
    <row r="1037">
      <c r="A1037" s="21">
        <f>IF(Rechner!$E$4&lt;&gt;"ok","",IF(Rechner!$E$5+1035&lt;=Rechner!$B$6,Rechner!$E$5+1035,""))</f>
        <v/>
      </c>
      <c r="B1037">
        <f>IF(A1037="","",LOOKUP(A1037,Basiszins!$A$5:$A$18,Basiszins!$B$5:$B$18))</f>
        <v/>
      </c>
      <c r="C1037">
        <f>IF(A1037="","",B1037+Rechner!$E$7)</f>
        <v/>
      </c>
      <c r="D1037">
        <f>J1036</f>
        <v/>
      </c>
      <c r="E1037">
        <f>IF(A1037="",0,D1037*C1037/100/(DATE(YEAR(A1037)+1,1,1)-DATE(YEAR(A1037),1,1)))</f>
        <v/>
      </c>
      <c r="F1037">
        <f>IF(A1037="",0,SUMIF(Rechner!$A$12:$A$21,A1037,Rechner!$B$12:$B$21))</f>
        <v/>
      </c>
      <c r="G1037">
        <f>H1036+E1037</f>
        <v/>
      </c>
      <c r="H1037">
        <f>G1037-MIN(F1037,G1037)</f>
        <v/>
      </c>
      <c r="I1037">
        <f>MIN(F1037-MIN(F1037,G1037),D1037)</f>
        <v/>
      </c>
      <c r="J1037">
        <f>D1037-I1037</f>
        <v/>
      </c>
      <c r="K1037">
        <f>F1037-MIN(F1037,G1037)-I1037</f>
        <v/>
      </c>
    </row>
    <row r="1038">
      <c r="A1038" s="21">
        <f>IF(Rechner!$E$4&lt;&gt;"ok","",IF(Rechner!$E$5+1036&lt;=Rechner!$B$6,Rechner!$E$5+1036,""))</f>
        <v/>
      </c>
      <c r="B1038">
        <f>IF(A1038="","",LOOKUP(A1038,Basiszins!$A$5:$A$18,Basiszins!$B$5:$B$18))</f>
        <v/>
      </c>
      <c r="C1038">
        <f>IF(A1038="","",B1038+Rechner!$E$7)</f>
        <v/>
      </c>
      <c r="D1038">
        <f>J1037</f>
        <v/>
      </c>
      <c r="E1038">
        <f>IF(A1038="",0,D1038*C1038/100/(DATE(YEAR(A1038)+1,1,1)-DATE(YEAR(A1038),1,1)))</f>
        <v/>
      </c>
      <c r="F1038">
        <f>IF(A1038="",0,SUMIF(Rechner!$A$12:$A$21,A1038,Rechner!$B$12:$B$21))</f>
        <v/>
      </c>
      <c r="G1038">
        <f>H1037+E1038</f>
        <v/>
      </c>
      <c r="H1038">
        <f>G1038-MIN(F1038,G1038)</f>
        <v/>
      </c>
      <c r="I1038">
        <f>MIN(F1038-MIN(F1038,G1038),D1038)</f>
        <v/>
      </c>
      <c r="J1038">
        <f>D1038-I1038</f>
        <v/>
      </c>
      <c r="K1038">
        <f>F1038-MIN(F1038,G1038)-I1038</f>
        <v/>
      </c>
    </row>
    <row r="1039">
      <c r="A1039" s="21">
        <f>IF(Rechner!$E$4&lt;&gt;"ok","",IF(Rechner!$E$5+1037&lt;=Rechner!$B$6,Rechner!$E$5+1037,""))</f>
        <v/>
      </c>
      <c r="B1039">
        <f>IF(A1039="","",LOOKUP(A1039,Basiszins!$A$5:$A$18,Basiszins!$B$5:$B$18))</f>
        <v/>
      </c>
      <c r="C1039">
        <f>IF(A1039="","",B1039+Rechner!$E$7)</f>
        <v/>
      </c>
      <c r="D1039">
        <f>J1038</f>
        <v/>
      </c>
      <c r="E1039">
        <f>IF(A1039="",0,D1039*C1039/100/(DATE(YEAR(A1039)+1,1,1)-DATE(YEAR(A1039),1,1)))</f>
        <v/>
      </c>
      <c r="F1039">
        <f>IF(A1039="",0,SUMIF(Rechner!$A$12:$A$21,A1039,Rechner!$B$12:$B$21))</f>
        <v/>
      </c>
      <c r="G1039">
        <f>H1038+E1039</f>
        <v/>
      </c>
      <c r="H1039">
        <f>G1039-MIN(F1039,G1039)</f>
        <v/>
      </c>
      <c r="I1039">
        <f>MIN(F1039-MIN(F1039,G1039),D1039)</f>
        <v/>
      </c>
      <c r="J1039">
        <f>D1039-I1039</f>
        <v/>
      </c>
      <c r="K1039">
        <f>F1039-MIN(F1039,G1039)-I1039</f>
        <v/>
      </c>
    </row>
    <row r="1040">
      <c r="A1040" s="21">
        <f>IF(Rechner!$E$4&lt;&gt;"ok","",IF(Rechner!$E$5+1038&lt;=Rechner!$B$6,Rechner!$E$5+1038,""))</f>
        <v/>
      </c>
      <c r="B1040">
        <f>IF(A1040="","",LOOKUP(A1040,Basiszins!$A$5:$A$18,Basiszins!$B$5:$B$18))</f>
        <v/>
      </c>
      <c r="C1040">
        <f>IF(A1040="","",B1040+Rechner!$E$7)</f>
        <v/>
      </c>
      <c r="D1040">
        <f>J1039</f>
        <v/>
      </c>
      <c r="E1040">
        <f>IF(A1040="",0,D1040*C1040/100/(DATE(YEAR(A1040)+1,1,1)-DATE(YEAR(A1040),1,1)))</f>
        <v/>
      </c>
      <c r="F1040">
        <f>IF(A1040="",0,SUMIF(Rechner!$A$12:$A$21,A1040,Rechner!$B$12:$B$21))</f>
        <v/>
      </c>
      <c r="G1040">
        <f>H1039+E1040</f>
        <v/>
      </c>
      <c r="H1040">
        <f>G1040-MIN(F1040,G1040)</f>
        <v/>
      </c>
      <c r="I1040">
        <f>MIN(F1040-MIN(F1040,G1040),D1040)</f>
        <v/>
      </c>
      <c r="J1040">
        <f>D1040-I1040</f>
        <v/>
      </c>
      <c r="K1040">
        <f>F1040-MIN(F1040,G1040)-I1040</f>
        <v/>
      </c>
    </row>
    <row r="1041">
      <c r="A1041" s="21">
        <f>IF(Rechner!$E$4&lt;&gt;"ok","",IF(Rechner!$E$5+1039&lt;=Rechner!$B$6,Rechner!$E$5+1039,""))</f>
        <v/>
      </c>
      <c r="B1041">
        <f>IF(A1041="","",LOOKUP(A1041,Basiszins!$A$5:$A$18,Basiszins!$B$5:$B$18))</f>
        <v/>
      </c>
      <c r="C1041">
        <f>IF(A1041="","",B1041+Rechner!$E$7)</f>
        <v/>
      </c>
      <c r="D1041">
        <f>J1040</f>
        <v/>
      </c>
      <c r="E1041">
        <f>IF(A1041="",0,D1041*C1041/100/(DATE(YEAR(A1041)+1,1,1)-DATE(YEAR(A1041),1,1)))</f>
        <v/>
      </c>
      <c r="F1041">
        <f>IF(A1041="",0,SUMIF(Rechner!$A$12:$A$21,A1041,Rechner!$B$12:$B$21))</f>
        <v/>
      </c>
      <c r="G1041">
        <f>H1040+E1041</f>
        <v/>
      </c>
      <c r="H1041">
        <f>G1041-MIN(F1041,G1041)</f>
        <v/>
      </c>
      <c r="I1041">
        <f>MIN(F1041-MIN(F1041,G1041),D1041)</f>
        <v/>
      </c>
      <c r="J1041">
        <f>D1041-I1041</f>
        <v/>
      </c>
      <c r="K1041">
        <f>F1041-MIN(F1041,G1041)-I1041</f>
        <v/>
      </c>
    </row>
    <row r="1042">
      <c r="A1042" s="21">
        <f>IF(Rechner!$E$4&lt;&gt;"ok","",IF(Rechner!$E$5+1040&lt;=Rechner!$B$6,Rechner!$E$5+1040,""))</f>
        <v/>
      </c>
      <c r="B1042">
        <f>IF(A1042="","",LOOKUP(A1042,Basiszins!$A$5:$A$18,Basiszins!$B$5:$B$18))</f>
        <v/>
      </c>
      <c r="C1042">
        <f>IF(A1042="","",B1042+Rechner!$E$7)</f>
        <v/>
      </c>
      <c r="D1042">
        <f>J1041</f>
        <v/>
      </c>
      <c r="E1042">
        <f>IF(A1042="",0,D1042*C1042/100/(DATE(YEAR(A1042)+1,1,1)-DATE(YEAR(A1042),1,1)))</f>
        <v/>
      </c>
      <c r="F1042">
        <f>IF(A1042="",0,SUMIF(Rechner!$A$12:$A$21,A1042,Rechner!$B$12:$B$21))</f>
        <v/>
      </c>
      <c r="G1042">
        <f>H1041+E1042</f>
        <v/>
      </c>
      <c r="H1042">
        <f>G1042-MIN(F1042,G1042)</f>
        <v/>
      </c>
      <c r="I1042">
        <f>MIN(F1042-MIN(F1042,G1042),D1042)</f>
        <v/>
      </c>
      <c r="J1042">
        <f>D1042-I1042</f>
        <v/>
      </c>
      <c r="K1042">
        <f>F1042-MIN(F1042,G1042)-I1042</f>
        <v/>
      </c>
    </row>
    <row r="1043">
      <c r="A1043" s="21">
        <f>IF(Rechner!$E$4&lt;&gt;"ok","",IF(Rechner!$E$5+1041&lt;=Rechner!$B$6,Rechner!$E$5+1041,""))</f>
        <v/>
      </c>
      <c r="B1043">
        <f>IF(A1043="","",LOOKUP(A1043,Basiszins!$A$5:$A$18,Basiszins!$B$5:$B$18))</f>
        <v/>
      </c>
      <c r="C1043">
        <f>IF(A1043="","",B1043+Rechner!$E$7)</f>
        <v/>
      </c>
      <c r="D1043">
        <f>J1042</f>
        <v/>
      </c>
      <c r="E1043">
        <f>IF(A1043="",0,D1043*C1043/100/(DATE(YEAR(A1043)+1,1,1)-DATE(YEAR(A1043),1,1)))</f>
        <v/>
      </c>
      <c r="F1043">
        <f>IF(A1043="",0,SUMIF(Rechner!$A$12:$A$21,A1043,Rechner!$B$12:$B$21))</f>
        <v/>
      </c>
      <c r="G1043">
        <f>H1042+E1043</f>
        <v/>
      </c>
      <c r="H1043">
        <f>G1043-MIN(F1043,G1043)</f>
        <v/>
      </c>
      <c r="I1043">
        <f>MIN(F1043-MIN(F1043,G1043),D1043)</f>
        <v/>
      </c>
      <c r="J1043">
        <f>D1043-I1043</f>
        <v/>
      </c>
      <c r="K1043">
        <f>F1043-MIN(F1043,G1043)-I1043</f>
        <v/>
      </c>
    </row>
    <row r="1044">
      <c r="A1044" s="21">
        <f>IF(Rechner!$E$4&lt;&gt;"ok","",IF(Rechner!$E$5+1042&lt;=Rechner!$B$6,Rechner!$E$5+1042,""))</f>
        <v/>
      </c>
      <c r="B1044">
        <f>IF(A1044="","",LOOKUP(A1044,Basiszins!$A$5:$A$18,Basiszins!$B$5:$B$18))</f>
        <v/>
      </c>
      <c r="C1044">
        <f>IF(A1044="","",B1044+Rechner!$E$7)</f>
        <v/>
      </c>
      <c r="D1044">
        <f>J1043</f>
        <v/>
      </c>
      <c r="E1044">
        <f>IF(A1044="",0,D1044*C1044/100/(DATE(YEAR(A1044)+1,1,1)-DATE(YEAR(A1044),1,1)))</f>
        <v/>
      </c>
      <c r="F1044">
        <f>IF(A1044="",0,SUMIF(Rechner!$A$12:$A$21,A1044,Rechner!$B$12:$B$21))</f>
        <v/>
      </c>
      <c r="G1044">
        <f>H1043+E1044</f>
        <v/>
      </c>
      <c r="H1044">
        <f>G1044-MIN(F1044,G1044)</f>
        <v/>
      </c>
      <c r="I1044">
        <f>MIN(F1044-MIN(F1044,G1044),D1044)</f>
        <v/>
      </c>
      <c r="J1044">
        <f>D1044-I1044</f>
        <v/>
      </c>
      <c r="K1044">
        <f>F1044-MIN(F1044,G1044)-I1044</f>
        <v/>
      </c>
    </row>
    <row r="1045">
      <c r="A1045" s="21">
        <f>IF(Rechner!$E$4&lt;&gt;"ok","",IF(Rechner!$E$5+1043&lt;=Rechner!$B$6,Rechner!$E$5+1043,""))</f>
        <v/>
      </c>
      <c r="B1045">
        <f>IF(A1045="","",LOOKUP(A1045,Basiszins!$A$5:$A$18,Basiszins!$B$5:$B$18))</f>
        <v/>
      </c>
      <c r="C1045">
        <f>IF(A1045="","",B1045+Rechner!$E$7)</f>
        <v/>
      </c>
      <c r="D1045">
        <f>J1044</f>
        <v/>
      </c>
      <c r="E1045">
        <f>IF(A1045="",0,D1045*C1045/100/(DATE(YEAR(A1045)+1,1,1)-DATE(YEAR(A1045),1,1)))</f>
        <v/>
      </c>
      <c r="F1045">
        <f>IF(A1045="",0,SUMIF(Rechner!$A$12:$A$21,A1045,Rechner!$B$12:$B$21))</f>
        <v/>
      </c>
      <c r="G1045">
        <f>H1044+E1045</f>
        <v/>
      </c>
      <c r="H1045">
        <f>G1045-MIN(F1045,G1045)</f>
        <v/>
      </c>
      <c r="I1045">
        <f>MIN(F1045-MIN(F1045,G1045),D1045)</f>
        <v/>
      </c>
      <c r="J1045">
        <f>D1045-I1045</f>
        <v/>
      </c>
      <c r="K1045">
        <f>F1045-MIN(F1045,G1045)-I1045</f>
        <v/>
      </c>
    </row>
    <row r="1046">
      <c r="A1046" s="21">
        <f>IF(Rechner!$E$4&lt;&gt;"ok","",IF(Rechner!$E$5+1044&lt;=Rechner!$B$6,Rechner!$E$5+1044,""))</f>
        <v/>
      </c>
      <c r="B1046">
        <f>IF(A1046="","",LOOKUP(A1046,Basiszins!$A$5:$A$18,Basiszins!$B$5:$B$18))</f>
        <v/>
      </c>
      <c r="C1046">
        <f>IF(A1046="","",B1046+Rechner!$E$7)</f>
        <v/>
      </c>
      <c r="D1046">
        <f>J1045</f>
        <v/>
      </c>
      <c r="E1046">
        <f>IF(A1046="",0,D1046*C1046/100/(DATE(YEAR(A1046)+1,1,1)-DATE(YEAR(A1046),1,1)))</f>
        <v/>
      </c>
      <c r="F1046">
        <f>IF(A1046="",0,SUMIF(Rechner!$A$12:$A$21,A1046,Rechner!$B$12:$B$21))</f>
        <v/>
      </c>
      <c r="G1046">
        <f>H1045+E1046</f>
        <v/>
      </c>
      <c r="H1046">
        <f>G1046-MIN(F1046,G1046)</f>
        <v/>
      </c>
      <c r="I1046">
        <f>MIN(F1046-MIN(F1046,G1046),D1046)</f>
        <v/>
      </c>
      <c r="J1046">
        <f>D1046-I1046</f>
        <v/>
      </c>
      <c r="K1046">
        <f>F1046-MIN(F1046,G1046)-I1046</f>
        <v/>
      </c>
    </row>
    <row r="1047">
      <c r="A1047" s="21">
        <f>IF(Rechner!$E$4&lt;&gt;"ok","",IF(Rechner!$E$5+1045&lt;=Rechner!$B$6,Rechner!$E$5+1045,""))</f>
        <v/>
      </c>
      <c r="B1047">
        <f>IF(A1047="","",LOOKUP(A1047,Basiszins!$A$5:$A$18,Basiszins!$B$5:$B$18))</f>
        <v/>
      </c>
      <c r="C1047">
        <f>IF(A1047="","",B1047+Rechner!$E$7)</f>
        <v/>
      </c>
      <c r="D1047">
        <f>J1046</f>
        <v/>
      </c>
      <c r="E1047">
        <f>IF(A1047="",0,D1047*C1047/100/(DATE(YEAR(A1047)+1,1,1)-DATE(YEAR(A1047),1,1)))</f>
        <v/>
      </c>
      <c r="F1047">
        <f>IF(A1047="",0,SUMIF(Rechner!$A$12:$A$21,A1047,Rechner!$B$12:$B$21))</f>
        <v/>
      </c>
      <c r="G1047">
        <f>H1046+E1047</f>
        <v/>
      </c>
      <c r="H1047">
        <f>G1047-MIN(F1047,G1047)</f>
        <v/>
      </c>
      <c r="I1047">
        <f>MIN(F1047-MIN(F1047,G1047),D1047)</f>
        <v/>
      </c>
      <c r="J1047">
        <f>D1047-I1047</f>
        <v/>
      </c>
      <c r="K1047">
        <f>F1047-MIN(F1047,G1047)-I1047</f>
        <v/>
      </c>
    </row>
    <row r="1048">
      <c r="A1048" s="21">
        <f>IF(Rechner!$E$4&lt;&gt;"ok","",IF(Rechner!$E$5+1046&lt;=Rechner!$B$6,Rechner!$E$5+1046,""))</f>
        <v/>
      </c>
      <c r="B1048">
        <f>IF(A1048="","",LOOKUP(A1048,Basiszins!$A$5:$A$18,Basiszins!$B$5:$B$18))</f>
        <v/>
      </c>
      <c r="C1048">
        <f>IF(A1048="","",B1048+Rechner!$E$7)</f>
        <v/>
      </c>
      <c r="D1048">
        <f>J1047</f>
        <v/>
      </c>
      <c r="E1048">
        <f>IF(A1048="",0,D1048*C1048/100/(DATE(YEAR(A1048)+1,1,1)-DATE(YEAR(A1048),1,1)))</f>
        <v/>
      </c>
      <c r="F1048">
        <f>IF(A1048="",0,SUMIF(Rechner!$A$12:$A$21,A1048,Rechner!$B$12:$B$21))</f>
        <v/>
      </c>
      <c r="G1048">
        <f>H1047+E1048</f>
        <v/>
      </c>
      <c r="H1048">
        <f>G1048-MIN(F1048,G1048)</f>
        <v/>
      </c>
      <c r="I1048">
        <f>MIN(F1048-MIN(F1048,G1048),D1048)</f>
        <v/>
      </c>
      <c r="J1048">
        <f>D1048-I1048</f>
        <v/>
      </c>
      <c r="K1048">
        <f>F1048-MIN(F1048,G1048)-I1048</f>
        <v/>
      </c>
    </row>
    <row r="1049">
      <c r="A1049" s="21">
        <f>IF(Rechner!$E$4&lt;&gt;"ok","",IF(Rechner!$E$5+1047&lt;=Rechner!$B$6,Rechner!$E$5+1047,""))</f>
        <v/>
      </c>
      <c r="B1049">
        <f>IF(A1049="","",LOOKUP(A1049,Basiszins!$A$5:$A$18,Basiszins!$B$5:$B$18))</f>
        <v/>
      </c>
      <c r="C1049">
        <f>IF(A1049="","",B1049+Rechner!$E$7)</f>
        <v/>
      </c>
      <c r="D1049">
        <f>J1048</f>
        <v/>
      </c>
      <c r="E1049">
        <f>IF(A1049="",0,D1049*C1049/100/(DATE(YEAR(A1049)+1,1,1)-DATE(YEAR(A1049),1,1)))</f>
        <v/>
      </c>
      <c r="F1049">
        <f>IF(A1049="",0,SUMIF(Rechner!$A$12:$A$21,A1049,Rechner!$B$12:$B$21))</f>
        <v/>
      </c>
      <c r="G1049">
        <f>H1048+E1049</f>
        <v/>
      </c>
      <c r="H1049">
        <f>G1049-MIN(F1049,G1049)</f>
        <v/>
      </c>
      <c r="I1049">
        <f>MIN(F1049-MIN(F1049,G1049),D1049)</f>
        <v/>
      </c>
      <c r="J1049">
        <f>D1049-I1049</f>
        <v/>
      </c>
      <c r="K1049">
        <f>F1049-MIN(F1049,G1049)-I1049</f>
        <v/>
      </c>
    </row>
    <row r="1050">
      <c r="A1050" s="21">
        <f>IF(Rechner!$E$4&lt;&gt;"ok","",IF(Rechner!$E$5+1048&lt;=Rechner!$B$6,Rechner!$E$5+1048,""))</f>
        <v/>
      </c>
      <c r="B1050">
        <f>IF(A1050="","",LOOKUP(A1050,Basiszins!$A$5:$A$18,Basiszins!$B$5:$B$18))</f>
        <v/>
      </c>
      <c r="C1050">
        <f>IF(A1050="","",B1050+Rechner!$E$7)</f>
        <v/>
      </c>
      <c r="D1050">
        <f>J1049</f>
        <v/>
      </c>
      <c r="E1050">
        <f>IF(A1050="",0,D1050*C1050/100/(DATE(YEAR(A1050)+1,1,1)-DATE(YEAR(A1050),1,1)))</f>
        <v/>
      </c>
      <c r="F1050">
        <f>IF(A1050="",0,SUMIF(Rechner!$A$12:$A$21,A1050,Rechner!$B$12:$B$21))</f>
        <v/>
      </c>
      <c r="G1050">
        <f>H1049+E1050</f>
        <v/>
      </c>
      <c r="H1050">
        <f>G1050-MIN(F1050,G1050)</f>
        <v/>
      </c>
      <c r="I1050">
        <f>MIN(F1050-MIN(F1050,G1050),D1050)</f>
        <v/>
      </c>
      <c r="J1050">
        <f>D1050-I1050</f>
        <v/>
      </c>
      <c r="K1050">
        <f>F1050-MIN(F1050,G1050)-I1050</f>
        <v/>
      </c>
    </row>
    <row r="1051">
      <c r="A1051" s="21">
        <f>IF(Rechner!$E$4&lt;&gt;"ok","",IF(Rechner!$E$5+1049&lt;=Rechner!$B$6,Rechner!$E$5+1049,""))</f>
        <v/>
      </c>
      <c r="B1051">
        <f>IF(A1051="","",LOOKUP(A1051,Basiszins!$A$5:$A$18,Basiszins!$B$5:$B$18))</f>
        <v/>
      </c>
      <c r="C1051">
        <f>IF(A1051="","",B1051+Rechner!$E$7)</f>
        <v/>
      </c>
      <c r="D1051">
        <f>J1050</f>
        <v/>
      </c>
      <c r="E1051">
        <f>IF(A1051="",0,D1051*C1051/100/(DATE(YEAR(A1051)+1,1,1)-DATE(YEAR(A1051),1,1)))</f>
        <v/>
      </c>
      <c r="F1051">
        <f>IF(A1051="",0,SUMIF(Rechner!$A$12:$A$21,A1051,Rechner!$B$12:$B$21))</f>
        <v/>
      </c>
      <c r="G1051">
        <f>H1050+E1051</f>
        <v/>
      </c>
      <c r="H1051">
        <f>G1051-MIN(F1051,G1051)</f>
        <v/>
      </c>
      <c r="I1051">
        <f>MIN(F1051-MIN(F1051,G1051),D1051)</f>
        <v/>
      </c>
      <c r="J1051">
        <f>D1051-I1051</f>
        <v/>
      </c>
      <c r="K1051">
        <f>F1051-MIN(F1051,G1051)-I1051</f>
        <v/>
      </c>
    </row>
    <row r="1052">
      <c r="A1052" s="21">
        <f>IF(Rechner!$E$4&lt;&gt;"ok","",IF(Rechner!$E$5+1050&lt;=Rechner!$B$6,Rechner!$E$5+1050,""))</f>
        <v/>
      </c>
      <c r="B1052">
        <f>IF(A1052="","",LOOKUP(A1052,Basiszins!$A$5:$A$18,Basiszins!$B$5:$B$18))</f>
        <v/>
      </c>
      <c r="C1052">
        <f>IF(A1052="","",B1052+Rechner!$E$7)</f>
        <v/>
      </c>
      <c r="D1052">
        <f>J1051</f>
        <v/>
      </c>
      <c r="E1052">
        <f>IF(A1052="",0,D1052*C1052/100/(DATE(YEAR(A1052)+1,1,1)-DATE(YEAR(A1052),1,1)))</f>
        <v/>
      </c>
      <c r="F1052">
        <f>IF(A1052="",0,SUMIF(Rechner!$A$12:$A$21,A1052,Rechner!$B$12:$B$21))</f>
        <v/>
      </c>
      <c r="G1052">
        <f>H1051+E1052</f>
        <v/>
      </c>
      <c r="H1052">
        <f>G1052-MIN(F1052,G1052)</f>
        <v/>
      </c>
      <c r="I1052">
        <f>MIN(F1052-MIN(F1052,G1052),D1052)</f>
        <v/>
      </c>
      <c r="J1052">
        <f>D1052-I1052</f>
        <v/>
      </c>
      <c r="K1052">
        <f>F1052-MIN(F1052,G1052)-I1052</f>
        <v/>
      </c>
    </row>
    <row r="1053">
      <c r="A1053" s="21">
        <f>IF(Rechner!$E$4&lt;&gt;"ok","",IF(Rechner!$E$5+1051&lt;=Rechner!$B$6,Rechner!$E$5+1051,""))</f>
        <v/>
      </c>
      <c r="B1053">
        <f>IF(A1053="","",LOOKUP(A1053,Basiszins!$A$5:$A$18,Basiszins!$B$5:$B$18))</f>
        <v/>
      </c>
      <c r="C1053">
        <f>IF(A1053="","",B1053+Rechner!$E$7)</f>
        <v/>
      </c>
      <c r="D1053">
        <f>J1052</f>
        <v/>
      </c>
      <c r="E1053">
        <f>IF(A1053="",0,D1053*C1053/100/(DATE(YEAR(A1053)+1,1,1)-DATE(YEAR(A1053),1,1)))</f>
        <v/>
      </c>
      <c r="F1053">
        <f>IF(A1053="",0,SUMIF(Rechner!$A$12:$A$21,A1053,Rechner!$B$12:$B$21))</f>
        <v/>
      </c>
      <c r="G1053">
        <f>H1052+E1053</f>
        <v/>
      </c>
      <c r="H1053">
        <f>G1053-MIN(F1053,G1053)</f>
        <v/>
      </c>
      <c r="I1053">
        <f>MIN(F1053-MIN(F1053,G1053),D1053)</f>
        <v/>
      </c>
      <c r="J1053">
        <f>D1053-I1053</f>
        <v/>
      </c>
      <c r="K1053">
        <f>F1053-MIN(F1053,G1053)-I1053</f>
        <v/>
      </c>
    </row>
    <row r="1054">
      <c r="A1054" s="21">
        <f>IF(Rechner!$E$4&lt;&gt;"ok","",IF(Rechner!$E$5+1052&lt;=Rechner!$B$6,Rechner!$E$5+1052,""))</f>
        <v/>
      </c>
      <c r="B1054">
        <f>IF(A1054="","",LOOKUP(A1054,Basiszins!$A$5:$A$18,Basiszins!$B$5:$B$18))</f>
        <v/>
      </c>
      <c r="C1054">
        <f>IF(A1054="","",B1054+Rechner!$E$7)</f>
        <v/>
      </c>
      <c r="D1054">
        <f>J1053</f>
        <v/>
      </c>
      <c r="E1054">
        <f>IF(A1054="",0,D1054*C1054/100/(DATE(YEAR(A1054)+1,1,1)-DATE(YEAR(A1054),1,1)))</f>
        <v/>
      </c>
      <c r="F1054">
        <f>IF(A1054="",0,SUMIF(Rechner!$A$12:$A$21,A1054,Rechner!$B$12:$B$21))</f>
        <v/>
      </c>
      <c r="G1054">
        <f>H1053+E1054</f>
        <v/>
      </c>
      <c r="H1054">
        <f>G1054-MIN(F1054,G1054)</f>
        <v/>
      </c>
      <c r="I1054">
        <f>MIN(F1054-MIN(F1054,G1054),D1054)</f>
        <v/>
      </c>
      <c r="J1054">
        <f>D1054-I1054</f>
        <v/>
      </c>
      <c r="K1054">
        <f>F1054-MIN(F1054,G1054)-I1054</f>
        <v/>
      </c>
    </row>
    <row r="1055">
      <c r="A1055" s="21">
        <f>IF(Rechner!$E$4&lt;&gt;"ok","",IF(Rechner!$E$5+1053&lt;=Rechner!$B$6,Rechner!$E$5+1053,""))</f>
        <v/>
      </c>
      <c r="B1055">
        <f>IF(A1055="","",LOOKUP(A1055,Basiszins!$A$5:$A$18,Basiszins!$B$5:$B$18))</f>
        <v/>
      </c>
      <c r="C1055">
        <f>IF(A1055="","",B1055+Rechner!$E$7)</f>
        <v/>
      </c>
      <c r="D1055">
        <f>J1054</f>
        <v/>
      </c>
      <c r="E1055">
        <f>IF(A1055="",0,D1055*C1055/100/(DATE(YEAR(A1055)+1,1,1)-DATE(YEAR(A1055),1,1)))</f>
        <v/>
      </c>
      <c r="F1055">
        <f>IF(A1055="",0,SUMIF(Rechner!$A$12:$A$21,A1055,Rechner!$B$12:$B$21))</f>
        <v/>
      </c>
      <c r="G1055">
        <f>H1054+E1055</f>
        <v/>
      </c>
      <c r="H1055">
        <f>G1055-MIN(F1055,G1055)</f>
        <v/>
      </c>
      <c r="I1055">
        <f>MIN(F1055-MIN(F1055,G1055),D1055)</f>
        <v/>
      </c>
      <c r="J1055">
        <f>D1055-I1055</f>
        <v/>
      </c>
      <c r="K1055">
        <f>F1055-MIN(F1055,G1055)-I1055</f>
        <v/>
      </c>
    </row>
    <row r="1056">
      <c r="A1056" s="21">
        <f>IF(Rechner!$E$4&lt;&gt;"ok","",IF(Rechner!$E$5+1054&lt;=Rechner!$B$6,Rechner!$E$5+1054,""))</f>
        <v/>
      </c>
      <c r="B1056">
        <f>IF(A1056="","",LOOKUP(A1056,Basiszins!$A$5:$A$18,Basiszins!$B$5:$B$18))</f>
        <v/>
      </c>
      <c r="C1056">
        <f>IF(A1056="","",B1056+Rechner!$E$7)</f>
        <v/>
      </c>
      <c r="D1056">
        <f>J1055</f>
        <v/>
      </c>
      <c r="E1056">
        <f>IF(A1056="",0,D1056*C1056/100/(DATE(YEAR(A1056)+1,1,1)-DATE(YEAR(A1056),1,1)))</f>
        <v/>
      </c>
      <c r="F1056">
        <f>IF(A1056="",0,SUMIF(Rechner!$A$12:$A$21,A1056,Rechner!$B$12:$B$21))</f>
        <v/>
      </c>
      <c r="G1056">
        <f>H1055+E1056</f>
        <v/>
      </c>
      <c r="H1056">
        <f>G1056-MIN(F1056,G1056)</f>
        <v/>
      </c>
      <c r="I1056">
        <f>MIN(F1056-MIN(F1056,G1056),D1056)</f>
        <v/>
      </c>
      <c r="J1056">
        <f>D1056-I1056</f>
        <v/>
      </c>
      <c r="K1056">
        <f>F1056-MIN(F1056,G1056)-I1056</f>
        <v/>
      </c>
    </row>
    <row r="1057">
      <c r="A1057" s="21">
        <f>IF(Rechner!$E$4&lt;&gt;"ok","",IF(Rechner!$E$5+1055&lt;=Rechner!$B$6,Rechner!$E$5+1055,""))</f>
        <v/>
      </c>
      <c r="B1057">
        <f>IF(A1057="","",LOOKUP(A1057,Basiszins!$A$5:$A$18,Basiszins!$B$5:$B$18))</f>
        <v/>
      </c>
      <c r="C1057">
        <f>IF(A1057="","",B1057+Rechner!$E$7)</f>
        <v/>
      </c>
      <c r="D1057">
        <f>J1056</f>
        <v/>
      </c>
      <c r="E1057">
        <f>IF(A1057="",0,D1057*C1057/100/(DATE(YEAR(A1057)+1,1,1)-DATE(YEAR(A1057),1,1)))</f>
        <v/>
      </c>
      <c r="F1057">
        <f>IF(A1057="",0,SUMIF(Rechner!$A$12:$A$21,A1057,Rechner!$B$12:$B$21))</f>
        <v/>
      </c>
      <c r="G1057">
        <f>H1056+E1057</f>
        <v/>
      </c>
      <c r="H1057">
        <f>G1057-MIN(F1057,G1057)</f>
        <v/>
      </c>
      <c r="I1057">
        <f>MIN(F1057-MIN(F1057,G1057),D1057)</f>
        <v/>
      </c>
      <c r="J1057">
        <f>D1057-I1057</f>
        <v/>
      </c>
      <c r="K1057">
        <f>F1057-MIN(F1057,G1057)-I1057</f>
        <v/>
      </c>
    </row>
    <row r="1058">
      <c r="A1058" s="21">
        <f>IF(Rechner!$E$4&lt;&gt;"ok","",IF(Rechner!$E$5+1056&lt;=Rechner!$B$6,Rechner!$E$5+1056,""))</f>
        <v/>
      </c>
      <c r="B1058">
        <f>IF(A1058="","",LOOKUP(A1058,Basiszins!$A$5:$A$18,Basiszins!$B$5:$B$18))</f>
        <v/>
      </c>
      <c r="C1058">
        <f>IF(A1058="","",B1058+Rechner!$E$7)</f>
        <v/>
      </c>
      <c r="D1058">
        <f>J1057</f>
        <v/>
      </c>
      <c r="E1058">
        <f>IF(A1058="",0,D1058*C1058/100/(DATE(YEAR(A1058)+1,1,1)-DATE(YEAR(A1058),1,1)))</f>
        <v/>
      </c>
      <c r="F1058">
        <f>IF(A1058="",0,SUMIF(Rechner!$A$12:$A$21,A1058,Rechner!$B$12:$B$21))</f>
        <v/>
      </c>
      <c r="G1058">
        <f>H1057+E1058</f>
        <v/>
      </c>
      <c r="H1058">
        <f>G1058-MIN(F1058,G1058)</f>
        <v/>
      </c>
      <c r="I1058">
        <f>MIN(F1058-MIN(F1058,G1058),D1058)</f>
        <v/>
      </c>
      <c r="J1058">
        <f>D1058-I1058</f>
        <v/>
      </c>
      <c r="K1058">
        <f>F1058-MIN(F1058,G1058)-I1058</f>
        <v/>
      </c>
    </row>
    <row r="1059">
      <c r="A1059" s="21">
        <f>IF(Rechner!$E$4&lt;&gt;"ok","",IF(Rechner!$E$5+1057&lt;=Rechner!$B$6,Rechner!$E$5+1057,""))</f>
        <v/>
      </c>
      <c r="B1059">
        <f>IF(A1059="","",LOOKUP(A1059,Basiszins!$A$5:$A$18,Basiszins!$B$5:$B$18))</f>
        <v/>
      </c>
      <c r="C1059">
        <f>IF(A1059="","",B1059+Rechner!$E$7)</f>
        <v/>
      </c>
      <c r="D1059">
        <f>J1058</f>
        <v/>
      </c>
      <c r="E1059">
        <f>IF(A1059="",0,D1059*C1059/100/(DATE(YEAR(A1059)+1,1,1)-DATE(YEAR(A1059),1,1)))</f>
        <v/>
      </c>
      <c r="F1059">
        <f>IF(A1059="",0,SUMIF(Rechner!$A$12:$A$21,A1059,Rechner!$B$12:$B$21))</f>
        <v/>
      </c>
      <c r="G1059">
        <f>H1058+E1059</f>
        <v/>
      </c>
      <c r="H1059">
        <f>G1059-MIN(F1059,G1059)</f>
        <v/>
      </c>
      <c r="I1059">
        <f>MIN(F1059-MIN(F1059,G1059),D1059)</f>
        <v/>
      </c>
      <c r="J1059">
        <f>D1059-I1059</f>
        <v/>
      </c>
      <c r="K1059">
        <f>F1059-MIN(F1059,G1059)-I1059</f>
        <v/>
      </c>
    </row>
    <row r="1060">
      <c r="A1060" s="21">
        <f>IF(Rechner!$E$4&lt;&gt;"ok","",IF(Rechner!$E$5+1058&lt;=Rechner!$B$6,Rechner!$E$5+1058,""))</f>
        <v/>
      </c>
      <c r="B1060">
        <f>IF(A1060="","",LOOKUP(A1060,Basiszins!$A$5:$A$18,Basiszins!$B$5:$B$18))</f>
        <v/>
      </c>
      <c r="C1060">
        <f>IF(A1060="","",B1060+Rechner!$E$7)</f>
        <v/>
      </c>
      <c r="D1060">
        <f>J1059</f>
        <v/>
      </c>
      <c r="E1060">
        <f>IF(A1060="",0,D1060*C1060/100/(DATE(YEAR(A1060)+1,1,1)-DATE(YEAR(A1060),1,1)))</f>
        <v/>
      </c>
      <c r="F1060">
        <f>IF(A1060="",0,SUMIF(Rechner!$A$12:$A$21,A1060,Rechner!$B$12:$B$21))</f>
        <v/>
      </c>
      <c r="G1060">
        <f>H1059+E1060</f>
        <v/>
      </c>
      <c r="H1060">
        <f>G1060-MIN(F1060,G1060)</f>
        <v/>
      </c>
      <c r="I1060">
        <f>MIN(F1060-MIN(F1060,G1060),D1060)</f>
        <v/>
      </c>
      <c r="J1060">
        <f>D1060-I1060</f>
        <v/>
      </c>
      <c r="K1060">
        <f>F1060-MIN(F1060,G1060)-I1060</f>
        <v/>
      </c>
    </row>
    <row r="1061">
      <c r="A1061" s="21">
        <f>IF(Rechner!$E$4&lt;&gt;"ok","",IF(Rechner!$E$5+1059&lt;=Rechner!$B$6,Rechner!$E$5+1059,""))</f>
        <v/>
      </c>
      <c r="B1061">
        <f>IF(A1061="","",LOOKUP(A1061,Basiszins!$A$5:$A$18,Basiszins!$B$5:$B$18))</f>
        <v/>
      </c>
      <c r="C1061">
        <f>IF(A1061="","",B1061+Rechner!$E$7)</f>
        <v/>
      </c>
      <c r="D1061">
        <f>J1060</f>
        <v/>
      </c>
      <c r="E1061">
        <f>IF(A1061="",0,D1061*C1061/100/(DATE(YEAR(A1061)+1,1,1)-DATE(YEAR(A1061),1,1)))</f>
        <v/>
      </c>
      <c r="F1061">
        <f>IF(A1061="",0,SUMIF(Rechner!$A$12:$A$21,A1061,Rechner!$B$12:$B$21))</f>
        <v/>
      </c>
      <c r="G1061">
        <f>H1060+E1061</f>
        <v/>
      </c>
      <c r="H1061">
        <f>G1061-MIN(F1061,G1061)</f>
        <v/>
      </c>
      <c r="I1061">
        <f>MIN(F1061-MIN(F1061,G1061),D1061)</f>
        <v/>
      </c>
      <c r="J1061">
        <f>D1061-I1061</f>
        <v/>
      </c>
      <c r="K1061">
        <f>F1061-MIN(F1061,G1061)-I1061</f>
        <v/>
      </c>
    </row>
    <row r="1062">
      <c r="A1062" s="21">
        <f>IF(Rechner!$E$4&lt;&gt;"ok","",IF(Rechner!$E$5+1060&lt;=Rechner!$B$6,Rechner!$E$5+1060,""))</f>
        <v/>
      </c>
      <c r="B1062">
        <f>IF(A1062="","",LOOKUP(A1062,Basiszins!$A$5:$A$18,Basiszins!$B$5:$B$18))</f>
        <v/>
      </c>
      <c r="C1062">
        <f>IF(A1062="","",B1062+Rechner!$E$7)</f>
        <v/>
      </c>
      <c r="D1062">
        <f>J1061</f>
        <v/>
      </c>
      <c r="E1062">
        <f>IF(A1062="",0,D1062*C1062/100/(DATE(YEAR(A1062)+1,1,1)-DATE(YEAR(A1062),1,1)))</f>
        <v/>
      </c>
      <c r="F1062">
        <f>IF(A1062="",0,SUMIF(Rechner!$A$12:$A$21,A1062,Rechner!$B$12:$B$21))</f>
        <v/>
      </c>
      <c r="G1062">
        <f>H1061+E1062</f>
        <v/>
      </c>
      <c r="H1062">
        <f>G1062-MIN(F1062,G1062)</f>
        <v/>
      </c>
      <c r="I1062">
        <f>MIN(F1062-MIN(F1062,G1062),D1062)</f>
        <v/>
      </c>
      <c r="J1062">
        <f>D1062-I1062</f>
        <v/>
      </c>
      <c r="K1062">
        <f>F1062-MIN(F1062,G1062)-I1062</f>
        <v/>
      </c>
    </row>
    <row r="1063">
      <c r="A1063" s="21">
        <f>IF(Rechner!$E$4&lt;&gt;"ok","",IF(Rechner!$E$5+1061&lt;=Rechner!$B$6,Rechner!$E$5+1061,""))</f>
        <v/>
      </c>
      <c r="B1063">
        <f>IF(A1063="","",LOOKUP(A1063,Basiszins!$A$5:$A$18,Basiszins!$B$5:$B$18))</f>
        <v/>
      </c>
      <c r="C1063">
        <f>IF(A1063="","",B1063+Rechner!$E$7)</f>
        <v/>
      </c>
      <c r="D1063">
        <f>J1062</f>
        <v/>
      </c>
      <c r="E1063">
        <f>IF(A1063="",0,D1063*C1063/100/(DATE(YEAR(A1063)+1,1,1)-DATE(YEAR(A1063),1,1)))</f>
        <v/>
      </c>
      <c r="F1063">
        <f>IF(A1063="",0,SUMIF(Rechner!$A$12:$A$21,A1063,Rechner!$B$12:$B$21))</f>
        <v/>
      </c>
      <c r="G1063">
        <f>H1062+E1063</f>
        <v/>
      </c>
      <c r="H1063">
        <f>G1063-MIN(F1063,G1063)</f>
        <v/>
      </c>
      <c r="I1063">
        <f>MIN(F1063-MIN(F1063,G1063),D1063)</f>
        <v/>
      </c>
      <c r="J1063">
        <f>D1063-I1063</f>
        <v/>
      </c>
      <c r="K1063">
        <f>F1063-MIN(F1063,G1063)-I1063</f>
        <v/>
      </c>
    </row>
    <row r="1064">
      <c r="A1064" s="21">
        <f>IF(Rechner!$E$4&lt;&gt;"ok","",IF(Rechner!$E$5+1062&lt;=Rechner!$B$6,Rechner!$E$5+1062,""))</f>
        <v/>
      </c>
      <c r="B1064">
        <f>IF(A1064="","",LOOKUP(A1064,Basiszins!$A$5:$A$18,Basiszins!$B$5:$B$18))</f>
        <v/>
      </c>
      <c r="C1064">
        <f>IF(A1064="","",B1064+Rechner!$E$7)</f>
        <v/>
      </c>
      <c r="D1064">
        <f>J1063</f>
        <v/>
      </c>
      <c r="E1064">
        <f>IF(A1064="",0,D1064*C1064/100/(DATE(YEAR(A1064)+1,1,1)-DATE(YEAR(A1064),1,1)))</f>
        <v/>
      </c>
      <c r="F1064">
        <f>IF(A1064="",0,SUMIF(Rechner!$A$12:$A$21,A1064,Rechner!$B$12:$B$21))</f>
        <v/>
      </c>
      <c r="G1064">
        <f>H1063+E1064</f>
        <v/>
      </c>
      <c r="H1064">
        <f>G1064-MIN(F1064,G1064)</f>
        <v/>
      </c>
      <c r="I1064">
        <f>MIN(F1064-MIN(F1064,G1064),D1064)</f>
        <v/>
      </c>
      <c r="J1064">
        <f>D1064-I1064</f>
        <v/>
      </c>
      <c r="K1064">
        <f>F1064-MIN(F1064,G1064)-I1064</f>
        <v/>
      </c>
    </row>
    <row r="1065">
      <c r="A1065" s="21">
        <f>IF(Rechner!$E$4&lt;&gt;"ok","",IF(Rechner!$E$5+1063&lt;=Rechner!$B$6,Rechner!$E$5+1063,""))</f>
        <v/>
      </c>
      <c r="B1065">
        <f>IF(A1065="","",LOOKUP(A1065,Basiszins!$A$5:$A$18,Basiszins!$B$5:$B$18))</f>
        <v/>
      </c>
      <c r="C1065">
        <f>IF(A1065="","",B1065+Rechner!$E$7)</f>
        <v/>
      </c>
      <c r="D1065">
        <f>J1064</f>
        <v/>
      </c>
      <c r="E1065">
        <f>IF(A1065="",0,D1065*C1065/100/(DATE(YEAR(A1065)+1,1,1)-DATE(YEAR(A1065),1,1)))</f>
        <v/>
      </c>
      <c r="F1065">
        <f>IF(A1065="",0,SUMIF(Rechner!$A$12:$A$21,A1065,Rechner!$B$12:$B$21))</f>
        <v/>
      </c>
      <c r="G1065">
        <f>H1064+E1065</f>
        <v/>
      </c>
      <c r="H1065">
        <f>G1065-MIN(F1065,G1065)</f>
        <v/>
      </c>
      <c r="I1065">
        <f>MIN(F1065-MIN(F1065,G1065),D1065)</f>
        <v/>
      </c>
      <c r="J1065">
        <f>D1065-I1065</f>
        <v/>
      </c>
      <c r="K1065">
        <f>F1065-MIN(F1065,G1065)-I1065</f>
        <v/>
      </c>
    </row>
    <row r="1066">
      <c r="A1066" s="21">
        <f>IF(Rechner!$E$4&lt;&gt;"ok","",IF(Rechner!$E$5+1064&lt;=Rechner!$B$6,Rechner!$E$5+1064,""))</f>
        <v/>
      </c>
      <c r="B1066">
        <f>IF(A1066="","",LOOKUP(A1066,Basiszins!$A$5:$A$18,Basiszins!$B$5:$B$18))</f>
        <v/>
      </c>
      <c r="C1066">
        <f>IF(A1066="","",B1066+Rechner!$E$7)</f>
        <v/>
      </c>
      <c r="D1066">
        <f>J1065</f>
        <v/>
      </c>
      <c r="E1066">
        <f>IF(A1066="",0,D1066*C1066/100/(DATE(YEAR(A1066)+1,1,1)-DATE(YEAR(A1066),1,1)))</f>
        <v/>
      </c>
      <c r="F1066">
        <f>IF(A1066="",0,SUMIF(Rechner!$A$12:$A$21,A1066,Rechner!$B$12:$B$21))</f>
        <v/>
      </c>
      <c r="G1066">
        <f>H1065+E1066</f>
        <v/>
      </c>
      <c r="H1066">
        <f>G1066-MIN(F1066,G1066)</f>
        <v/>
      </c>
      <c r="I1066">
        <f>MIN(F1066-MIN(F1066,G1066),D1066)</f>
        <v/>
      </c>
      <c r="J1066">
        <f>D1066-I1066</f>
        <v/>
      </c>
      <c r="K1066">
        <f>F1066-MIN(F1066,G1066)-I1066</f>
        <v/>
      </c>
    </row>
    <row r="1067">
      <c r="A1067" s="21">
        <f>IF(Rechner!$E$4&lt;&gt;"ok","",IF(Rechner!$E$5+1065&lt;=Rechner!$B$6,Rechner!$E$5+1065,""))</f>
        <v/>
      </c>
      <c r="B1067">
        <f>IF(A1067="","",LOOKUP(A1067,Basiszins!$A$5:$A$18,Basiszins!$B$5:$B$18))</f>
        <v/>
      </c>
      <c r="C1067">
        <f>IF(A1067="","",B1067+Rechner!$E$7)</f>
        <v/>
      </c>
      <c r="D1067">
        <f>J1066</f>
        <v/>
      </c>
      <c r="E1067">
        <f>IF(A1067="",0,D1067*C1067/100/(DATE(YEAR(A1067)+1,1,1)-DATE(YEAR(A1067),1,1)))</f>
        <v/>
      </c>
      <c r="F1067">
        <f>IF(A1067="",0,SUMIF(Rechner!$A$12:$A$21,A1067,Rechner!$B$12:$B$21))</f>
        <v/>
      </c>
      <c r="G1067">
        <f>H1066+E1067</f>
        <v/>
      </c>
      <c r="H1067">
        <f>G1067-MIN(F1067,G1067)</f>
        <v/>
      </c>
      <c r="I1067">
        <f>MIN(F1067-MIN(F1067,G1067),D1067)</f>
        <v/>
      </c>
      <c r="J1067">
        <f>D1067-I1067</f>
        <v/>
      </c>
      <c r="K1067">
        <f>F1067-MIN(F1067,G1067)-I1067</f>
        <v/>
      </c>
    </row>
    <row r="1068">
      <c r="A1068" s="21">
        <f>IF(Rechner!$E$4&lt;&gt;"ok","",IF(Rechner!$E$5+1066&lt;=Rechner!$B$6,Rechner!$E$5+1066,""))</f>
        <v/>
      </c>
      <c r="B1068">
        <f>IF(A1068="","",LOOKUP(A1068,Basiszins!$A$5:$A$18,Basiszins!$B$5:$B$18))</f>
        <v/>
      </c>
      <c r="C1068">
        <f>IF(A1068="","",B1068+Rechner!$E$7)</f>
        <v/>
      </c>
      <c r="D1068">
        <f>J1067</f>
        <v/>
      </c>
      <c r="E1068">
        <f>IF(A1068="",0,D1068*C1068/100/(DATE(YEAR(A1068)+1,1,1)-DATE(YEAR(A1068),1,1)))</f>
        <v/>
      </c>
      <c r="F1068">
        <f>IF(A1068="",0,SUMIF(Rechner!$A$12:$A$21,A1068,Rechner!$B$12:$B$21))</f>
        <v/>
      </c>
      <c r="G1068">
        <f>H1067+E1068</f>
        <v/>
      </c>
      <c r="H1068">
        <f>G1068-MIN(F1068,G1068)</f>
        <v/>
      </c>
      <c r="I1068">
        <f>MIN(F1068-MIN(F1068,G1068),D1068)</f>
        <v/>
      </c>
      <c r="J1068">
        <f>D1068-I1068</f>
        <v/>
      </c>
      <c r="K1068">
        <f>F1068-MIN(F1068,G1068)-I1068</f>
        <v/>
      </c>
    </row>
    <row r="1069">
      <c r="A1069" s="21">
        <f>IF(Rechner!$E$4&lt;&gt;"ok","",IF(Rechner!$E$5+1067&lt;=Rechner!$B$6,Rechner!$E$5+1067,""))</f>
        <v/>
      </c>
      <c r="B1069">
        <f>IF(A1069="","",LOOKUP(A1069,Basiszins!$A$5:$A$18,Basiszins!$B$5:$B$18))</f>
        <v/>
      </c>
      <c r="C1069">
        <f>IF(A1069="","",B1069+Rechner!$E$7)</f>
        <v/>
      </c>
      <c r="D1069">
        <f>J1068</f>
        <v/>
      </c>
      <c r="E1069">
        <f>IF(A1069="",0,D1069*C1069/100/(DATE(YEAR(A1069)+1,1,1)-DATE(YEAR(A1069),1,1)))</f>
        <v/>
      </c>
      <c r="F1069">
        <f>IF(A1069="",0,SUMIF(Rechner!$A$12:$A$21,A1069,Rechner!$B$12:$B$21))</f>
        <v/>
      </c>
      <c r="G1069">
        <f>H1068+E1069</f>
        <v/>
      </c>
      <c r="H1069">
        <f>G1069-MIN(F1069,G1069)</f>
        <v/>
      </c>
      <c r="I1069">
        <f>MIN(F1069-MIN(F1069,G1069),D1069)</f>
        <v/>
      </c>
      <c r="J1069">
        <f>D1069-I1069</f>
        <v/>
      </c>
      <c r="K1069">
        <f>F1069-MIN(F1069,G1069)-I1069</f>
        <v/>
      </c>
    </row>
    <row r="1070">
      <c r="A1070" s="21">
        <f>IF(Rechner!$E$4&lt;&gt;"ok","",IF(Rechner!$E$5+1068&lt;=Rechner!$B$6,Rechner!$E$5+1068,""))</f>
        <v/>
      </c>
      <c r="B1070">
        <f>IF(A1070="","",LOOKUP(A1070,Basiszins!$A$5:$A$18,Basiszins!$B$5:$B$18))</f>
        <v/>
      </c>
      <c r="C1070">
        <f>IF(A1070="","",B1070+Rechner!$E$7)</f>
        <v/>
      </c>
      <c r="D1070">
        <f>J1069</f>
        <v/>
      </c>
      <c r="E1070">
        <f>IF(A1070="",0,D1070*C1070/100/(DATE(YEAR(A1070)+1,1,1)-DATE(YEAR(A1070),1,1)))</f>
        <v/>
      </c>
      <c r="F1070">
        <f>IF(A1070="",0,SUMIF(Rechner!$A$12:$A$21,A1070,Rechner!$B$12:$B$21))</f>
        <v/>
      </c>
      <c r="G1070">
        <f>H1069+E1070</f>
        <v/>
      </c>
      <c r="H1070">
        <f>G1070-MIN(F1070,G1070)</f>
        <v/>
      </c>
      <c r="I1070">
        <f>MIN(F1070-MIN(F1070,G1070),D1070)</f>
        <v/>
      </c>
      <c r="J1070">
        <f>D1070-I1070</f>
        <v/>
      </c>
      <c r="K1070">
        <f>F1070-MIN(F1070,G1070)-I1070</f>
        <v/>
      </c>
    </row>
    <row r="1071">
      <c r="A1071" s="21">
        <f>IF(Rechner!$E$4&lt;&gt;"ok","",IF(Rechner!$E$5+1069&lt;=Rechner!$B$6,Rechner!$E$5+1069,""))</f>
        <v/>
      </c>
      <c r="B1071">
        <f>IF(A1071="","",LOOKUP(A1071,Basiszins!$A$5:$A$18,Basiszins!$B$5:$B$18))</f>
        <v/>
      </c>
      <c r="C1071">
        <f>IF(A1071="","",B1071+Rechner!$E$7)</f>
        <v/>
      </c>
      <c r="D1071">
        <f>J1070</f>
        <v/>
      </c>
      <c r="E1071">
        <f>IF(A1071="",0,D1071*C1071/100/(DATE(YEAR(A1071)+1,1,1)-DATE(YEAR(A1071),1,1)))</f>
        <v/>
      </c>
      <c r="F1071">
        <f>IF(A1071="",0,SUMIF(Rechner!$A$12:$A$21,A1071,Rechner!$B$12:$B$21))</f>
        <v/>
      </c>
      <c r="G1071">
        <f>H1070+E1071</f>
        <v/>
      </c>
      <c r="H1071">
        <f>G1071-MIN(F1071,G1071)</f>
        <v/>
      </c>
      <c r="I1071">
        <f>MIN(F1071-MIN(F1071,G1071),D1071)</f>
        <v/>
      </c>
      <c r="J1071">
        <f>D1071-I1071</f>
        <v/>
      </c>
      <c r="K1071">
        <f>F1071-MIN(F1071,G1071)-I1071</f>
        <v/>
      </c>
    </row>
    <row r="1072">
      <c r="A1072" s="21">
        <f>IF(Rechner!$E$4&lt;&gt;"ok","",IF(Rechner!$E$5+1070&lt;=Rechner!$B$6,Rechner!$E$5+1070,""))</f>
        <v/>
      </c>
      <c r="B1072">
        <f>IF(A1072="","",LOOKUP(A1072,Basiszins!$A$5:$A$18,Basiszins!$B$5:$B$18))</f>
        <v/>
      </c>
      <c r="C1072">
        <f>IF(A1072="","",B1072+Rechner!$E$7)</f>
        <v/>
      </c>
      <c r="D1072">
        <f>J1071</f>
        <v/>
      </c>
      <c r="E1072">
        <f>IF(A1072="",0,D1072*C1072/100/(DATE(YEAR(A1072)+1,1,1)-DATE(YEAR(A1072),1,1)))</f>
        <v/>
      </c>
      <c r="F1072">
        <f>IF(A1072="",0,SUMIF(Rechner!$A$12:$A$21,A1072,Rechner!$B$12:$B$21))</f>
        <v/>
      </c>
      <c r="G1072">
        <f>H1071+E1072</f>
        <v/>
      </c>
      <c r="H1072">
        <f>G1072-MIN(F1072,G1072)</f>
        <v/>
      </c>
      <c r="I1072">
        <f>MIN(F1072-MIN(F1072,G1072),D1072)</f>
        <v/>
      </c>
      <c r="J1072">
        <f>D1072-I1072</f>
        <v/>
      </c>
      <c r="K1072">
        <f>F1072-MIN(F1072,G1072)-I1072</f>
        <v/>
      </c>
    </row>
    <row r="1073">
      <c r="A1073" s="21">
        <f>IF(Rechner!$E$4&lt;&gt;"ok","",IF(Rechner!$E$5+1071&lt;=Rechner!$B$6,Rechner!$E$5+1071,""))</f>
        <v/>
      </c>
      <c r="B1073">
        <f>IF(A1073="","",LOOKUP(A1073,Basiszins!$A$5:$A$18,Basiszins!$B$5:$B$18))</f>
        <v/>
      </c>
      <c r="C1073">
        <f>IF(A1073="","",B1073+Rechner!$E$7)</f>
        <v/>
      </c>
      <c r="D1073">
        <f>J1072</f>
        <v/>
      </c>
      <c r="E1073">
        <f>IF(A1073="",0,D1073*C1073/100/(DATE(YEAR(A1073)+1,1,1)-DATE(YEAR(A1073),1,1)))</f>
        <v/>
      </c>
      <c r="F1073">
        <f>IF(A1073="",0,SUMIF(Rechner!$A$12:$A$21,A1073,Rechner!$B$12:$B$21))</f>
        <v/>
      </c>
      <c r="G1073">
        <f>H1072+E1073</f>
        <v/>
      </c>
      <c r="H1073">
        <f>G1073-MIN(F1073,G1073)</f>
        <v/>
      </c>
      <c r="I1073">
        <f>MIN(F1073-MIN(F1073,G1073),D1073)</f>
        <v/>
      </c>
      <c r="J1073">
        <f>D1073-I1073</f>
        <v/>
      </c>
      <c r="K1073">
        <f>F1073-MIN(F1073,G1073)-I1073</f>
        <v/>
      </c>
    </row>
    <row r="1074">
      <c r="A1074" s="21">
        <f>IF(Rechner!$E$4&lt;&gt;"ok","",IF(Rechner!$E$5+1072&lt;=Rechner!$B$6,Rechner!$E$5+1072,""))</f>
        <v/>
      </c>
      <c r="B1074">
        <f>IF(A1074="","",LOOKUP(A1074,Basiszins!$A$5:$A$18,Basiszins!$B$5:$B$18))</f>
        <v/>
      </c>
      <c r="C1074">
        <f>IF(A1074="","",B1074+Rechner!$E$7)</f>
        <v/>
      </c>
      <c r="D1074">
        <f>J1073</f>
        <v/>
      </c>
      <c r="E1074">
        <f>IF(A1074="",0,D1074*C1074/100/(DATE(YEAR(A1074)+1,1,1)-DATE(YEAR(A1074),1,1)))</f>
        <v/>
      </c>
      <c r="F1074">
        <f>IF(A1074="",0,SUMIF(Rechner!$A$12:$A$21,A1074,Rechner!$B$12:$B$21))</f>
        <v/>
      </c>
      <c r="G1074">
        <f>H1073+E1074</f>
        <v/>
      </c>
      <c r="H1074">
        <f>G1074-MIN(F1074,G1074)</f>
        <v/>
      </c>
      <c r="I1074">
        <f>MIN(F1074-MIN(F1074,G1074),D1074)</f>
        <v/>
      </c>
      <c r="J1074">
        <f>D1074-I1074</f>
        <v/>
      </c>
      <c r="K1074">
        <f>F1074-MIN(F1074,G1074)-I1074</f>
        <v/>
      </c>
    </row>
    <row r="1075">
      <c r="A1075" s="21">
        <f>IF(Rechner!$E$4&lt;&gt;"ok","",IF(Rechner!$E$5+1073&lt;=Rechner!$B$6,Rechner!$E$5+1073,""))</f>
        <v/>
      </c>
      <c r="B1075">
        <f>IF(A1075="","",LOOKUP(A1075,Basiszins!$A$5:$A$18,Basiszins!$B$5:$B$18))</f>
        <v/>
      </c>
      <c r="C1075">
        <f>IF(A1075="","",B1075+Rechner!$E$7)</f>
        <v/>
      </c>
      <c r="D1075">
        <f>J1074</f>
        <v/>
      </c>
      <c r="E1075">
        <f>IF(A1075="",0,D1075*C1075/100/(DATE(YEAR(A1075)+1,1,1)-DATE(YEAR(A1075),1,1)))</f>
        <v/>
      </c>
      <c r="F1075">
        <f>IF(A1075="",0,SUMIF(Rechner!$A$12:$A$21,A1075,Rechner!$B$12:$B$21))</f>
        <v/>
      </c>
      <c r="G1075">
        <f>H1074+E1075</f>
        <v/>
      </c>
      <c r="H1075">
        <f>G1075-MIN(F1075,G1075)</f>
        <v/>
      </c>
      <c r="I1075">
        <f>MIN(F1075-MIN(F1075,G1075),D1075)</f>
        <v/>
      </c>
      <c r="J1075">
        <f>D1075-I1075</f>
        <v/>
      </c>
      <c r="K1075">
        <f>F1075-MIN(F1075,G1075)-I1075</f>
        <v/>
      </c>
    </row>
    <row r="1076">
      <c r="A1076" s="21">
        <f>IF(Rechner!$E$4&lt;&gt;"ok","",IF(Rechner!$E$5+1074&lt;=Rechner!$B$6,Rechner!$E$5+1074,""))</f>
        <v/>
      </c>
      <c r="B1076">
        <f>IF(A1076="","",LOOKUP(A1076,Basiszins!$A$5:$A$18,Basiszins!$B$5:$B$18))</f>
        <v/>
      </c>
      <c r="C1076">
        <f>IF(A1076="","",B1076+Rechner!$E$7)</f>
        <v/>
      </c>
      <c r="D1076">
        <f>J1075</f>
        <v/>
      </c>
      <c r="E1076">
        <f>IF(A1076="",0,D1076*C1076/100/(DATE(YEAR(A1076)+1,1,1)-DATE(YEAR(A1076),1,1)))</f>
        <v/>
      </c>
      <c r="F1076">
        <f>IF(A1076="",0,SUMIF(Rechner!$A$12:$A$21,A1076,Rechner!$B$12:$B$21))</f>
        <v/>
      </c>
      <c r="G1076">
        <f>H1075+E1076</f>
        <v/>
      </c>
      <c r="H1076">
        <f>G1076-MIN(F1076,G1076)</f>
        <v/>
      </c>
      <c r="I1076">
        <f>MIN(F1076-MIN(F1076,G1076),D1076)</f>
        <v/>
      </c>
      <c r="J1076">
        <f>D1076-I1076</f>
        <v/>
      </c>
      <c r="K1076">
        <f>F1076-MIN(F1076,G1076)-I1076</f>
        <v/>
      </c>
    </row>
    <row r="1077">
      <c r="A1077" s="21">
        <f>IF(Rechner!$E$4&lt;&gt;"ok","",IF(Rechner!$E$5+1075&lt;=Rechner!$B$6,Rechner!$E$5+1075,""))</f>
        <v/>
      </c>
      <c r="B1077">
        <f>IF(A1077="","",LOOKUP(A1077,Basiszins!$A$5:$A$18,Basiszins!$B$5:$B$18))</f>
        <v/>
      </c>
      <c r="C1077">
        <f>IF(A1077="","",B1077+Rechner!$E$7)</f>
        <v/>
      </c>
      <c r="D1077">
        <f>J1076</f>
        <v/>
      </c>
      <c r="E1077">
        <f>IF(A1077="",0,D1077*C1077/100/(DATE(YEAR(A1077)+1,1,1)-DATE(YEAR(A1077),1,1)))</f>
        <v/>
      </c>
      <c r="F1077">
        <f>IF(A1077="",0,SUMIF(Rechner!$A$12:$A$21,A1077,Rechner!$B$12:$B$21))</f>
        <v/>
      </c>
      <c r="G1077">
        <f>H1076+E1077</f>
        <v/>
      </c>
      <c r="H1077">
        <f>G1077-MIN(F1077,G1077)</f>
        <v/>
      </c>
      <c r="I1077">
        <f>MIN(F1077-MIN(F1077,G1077),D1077)</f>
        <v/>
      </c>
      <c r="J1077">
        <f>D1077-I1077</f>
        <v/>
      </c>
      <c r="K1077">
        <f>F1077-MIN(F1077,G1077)-I1077</f>
        <v/>
      </c>
    </row>
    <row r="1078">
      <c r="A1078" s="21">
        <f>IF(Rechner!$E$4&lt;&gt;"ok","",IF(Rechner!$E$5+1076&lt;=Rechner!$B$6,Rechner!$E$5+1076,""))</f>
        <v/>
      </c>
      <c r="B1078">
        <f>IF(A1078="","",LOOKUP(A1078,Basiszins!$A$5:$A$18,Basiszins!$B$5:$B$18))</f>
        <v/>
      </c>
      <c r="C1078">
        <f>IF(A1078="","",B1078+Rechner!$E$7)</f>
        <v/>
      </c>
      <c r="D1078">
        <f>J1077</f>
        <v/>
      </c>
      <c r="E1078">
        <f>IF(A1078="",0,D1078*C1078/100/(DATE(YEAR(A1078)+1,1,1)-DATE(YEAR(A1078),1,1)))</f>
        <v/>
      </c>
      <c r="F1078">
        <f>IF(A1078="",0,SUMIF(Rechner!$A$12:$A$21,A1078,Rechner!$B$12:$B$21))</f>
        <v/>
      </c>
      <c r="G1078">
        <f>H1077+E1078</f>
        <v/>
      </c>
      <c r="H1078">
        <f>G1078-MIN(F1078,G1078)</f>
        <v/>
      </c>
      <c r="I1078">
        <f>MIN(F1078-MIN(F1078,G1078),D1078)</f>
        <v/>
      </c>
      <c r="J1078">
        <f>D1078-I1078</f>
        <v/>
      </c>
      <c r="K1078">
        <f>F1078-MIN(F1078,G1078)-I1078</f>
        <v/>
      </c>
    </row>
    <row r="1079">
      <c r="A1079" s="21">
        <f>IF(Rechner!$E$4&lt;&gt;"ok","",IF(Rechner!$E$5+1077&lt;=Rechner!$B$6,Rechner!$E$5+1077,""))</f>
        <v/>
      </c>
      <c r="B1079">
        <f>IF(A1079="","",LOOKUP(A1079,Basiszins!$A$5:$A$18,Basiszins!$B$5:$B$18))</f>
        <v/>
      </c>
      <c r="C1079">
        <f>IF(A1079="","",B1079+Rechner!$E$7)</f>
        <v/>
      </c>
      <c r="D1079">
        <f>J1078</f>
        <v/>
      </c>
      <c r="E1079">
        <f>IF(A1079="",0,D1079*C1079/100/(DATE(YEAR(A1079)+1,1,1)-DATE(YEAR(A1079),1,1)))</f>
        <v/>
      </c>
      <c r="F1079">
        <f>IF(A1079="",0,SUMIF(Rechner!$A$12:$A$21,A1079,Rechner!$B$12:$B$21))</f>
        <v/>
      </c>
      <c r="G1079">
        <f>H1078+E1079</f>
        <v/>
      </c>
      <c r="H1079">
        <f>G1079-MIN(F1079,G1079)</f>
        <v/>
      </c>
      <c r="I1079">
        <f>MIN(F1079-MIN(F1079,G1079),D1079)</f>
        <v/>
      </c>
      <c r="J1079">
        <f>D1079-I1079</f>
        <v/>
      </c>
      <c r="K1079">
        <f>F1079-MIN(F1079,G1079)-I1079</f>
        <v/>
      </c>
    </row>
    <row r="1080">
      <c r="A1080" s="21">
        <f>IF(Rechner!$E$4&lt;&gt;"ok","",IF(Rechner!$E$5+1078&lt;=Rechner!$B$6,Rechner!$E$5+1078,""))</f>
        <v/>
      </c>
      <c r="B1080">
        <f>IF(A1080="","",LOOKUP(A1080,Basiszins!$A$5:$A$18,Basiszins!$B$5:$B$18))</f>
        <v/>
      </c>
      <c r="C1080">
        <f>IF(A1080="","",B1080+Rechner!$E$7)</f>
        <v/>
      </c>
      <c r="D1080">
        <f>J1079</f>
        <v/>
      </c>
      <c r="E1080">
        <f>IF(A1080="",0,D1080*C1080/100/(DATE(YEAR(A1080)+1,1,1)-DATE(YEAR(A1080),1,1)))</f>
        <v/>
      </c>
      <c r="F1080">
        <f>IF(A1080="",0,SUMIF(Rechner!$A$12:$A$21,A1080,Rechner!$B$12:$B$21))</f>
        <v/>
      </c>
      <c r="G1080">
        <f>H1079+E1080</f>
        <v/>
      </c>
      <c r="H1080">
        <f>G1080-MIN(F1080,G1080)</f>
        <v/>
      </c>
      <c r="I1080">
        <f>MIN(F1080-MIN(F1080,G1080),D1080)</f>
        <v/>
      </c>
      <c r="J1080">
        <f>D1080-I1080</f>
        <v/>
      </c>
      <c r="K1080">
        <f>F1080-MIN(F1080,G1080)-I1080</f>
        <v/>
      </c>
    </row>
    <row r="1081">
      <c r="A1081" s="21">
        <f>IF(Rechner!$E$4&lt;&gt;"ok","",IF(Rechner!$E$5+1079&lt;=Rechner!$B$6,Rechner!$E$5+1079,""))</f>
        <v/>
      </c>
      <c r="B1081">
        <f>IF(A1081="","",LOOKUP(A1081,Basiszins!$A$5:$A$18,Basiszins!$B$5:$B$18))</f>
        <v/>
      </c>
      <c r="C1081">
        <f>IF(A1081="","",B1081+Rechner!$E$7)</f>
        <v/>
      </c>
      <c r="D1081">
        <f>J1080</f>
        <v/>
      </c>
      <c r="E1081">
        <f>IF(A1081="",0,D1081*C1081/100/(DATE(YEAR(A1081)+1,1,1)-DATE(YEAR(A1081),1,1)))</f>
        <v/>
      </c>
      <c r="F1081">
        <f>IF(A1081="",0,SUMIF(Rechner!$A$12:$A$21,A1081,Rechner!$B$12:$B$21))</f>
        <v/>
      </c>
      <c r="G1081">
        <f>H1080+E1081</f>
        <v/>
      </c>
      <c r="H1081">
        <f>G1081-MIN(F1081,G1081)</f>
        <v/>
      </c>
      <c r="I1081">
        <f>MIN(F1081-MIN(F1081,G1081),D1081)</f>
        <v/>
      </c>
      <c r="J1081">
        <f>D1081-I1081</f>
        <v/>
      </c>
      <c r="K1081">
        <f>F1081-MIN(F1081,G1081)-I1081</f>
        <v/>
      </c>
    </row>
    <row r="1082">
      <c r="A1082" s="21">
        <f>IF(Rechner!$E$4&lt;&gt;"ok","",IF(Rechner!$E$5+1080&lt;=Rechner!$B$6,Rechner!$E$5+1080,""))</f>
        <v/>
      </c>
      <c r="B1082">
        <f>IF(A1082="","",LOOKUP(A1082,Basiszins!$A$5:$A$18,Basiszins!$B$5:$B$18))</f>
        <v/>
      </c>
      <c r="C1082">
        <f>IF(A1082="","",B1082+Rechner!$E$7)</f>
        <v/>
      </c>
      <c r="D1082">
        <f>J1081</f>
        <v/>
      </c>
      <c r="E1082">
        <f>IF(A1082="",0,D1082*C1082/100/(DATE(YEAR(A1082)+1,1,1)-DATE(YEAR(A1082),1,1)))</f>
        <v/>
      </c>
      <c r="F1082">
        <f>IF(A1082="",0,SUMIF(Rechner!$A$12:$A$21,A1082,Rechner!$B$12:$B$21))</f>
        <v/>
      </c>
      <c r="G1082">
        <f>H1081+E1082</f>
        <v/>
      </c>
      <c r="H1082">
        <f>G1082-MIN(F1082,G1082)</f>
        <v/>
      </c>
      <c r="I1082">
        <f>MIN(F1082-MIN(F1082,G1082),D1082)</f>
        <v/>
      </c>
      <c r="J1082">
        <f>D1082-I1082</f>
        <v/>
      </c>
      <c r="K1082">
        <f>F1082-MIN(F1082,G1082)-I1082</f>
        <v/>
      </c>
    </row>
    <row r="1083">
      <c r="A1083" s="21">
        <f>IF(Rechner!$E$4&lt;&gt;"ok","",IF(Rechner!$E$5+1081&lt;=Rechner!$B$6,Rechner!$E$5+1081,""))</f>
        <v/>
      </c>
      <c r="B1083">
        <f>IF(A1083="","",LOOKUP(A1083,Basiszins!$A$5:$A$18,Basiszins!$B$5:$B$18))</f>
        <v/>
      </c>
      <c r="C1083">
        <f>IF(A1083="","",B1083+Rechner!$E$7)</f>
        <v/>
      </c>
      <c r="D1083">
        <f>J1082</f>
        <v/>
      </c>
      <c r="E1083">
        <f>IF(A1083="",0,D1083*C1083/100/(DATE(YEAR(A1083)+1,1,1)-DATE(YEAR(A1083),1,1)))</f>
        <v/>
      </c>
      <c r="F1083">
        <f>IF(A1083="",0,SUMIF(Rechner!$A$12:$A$21,A1083,Rechner!$B$12:$B$21))</f>
        <v/>
      </c>
      <c r="G1083">
        <f>H1082+E1083</f>
        <v/>
      </c>
      <c r="H1083">
        <f>G1083-MIN(F1083,G1083)</f>
        <v/>
      </c>
      <c r="I1083">
        <f>MIN(F1083-MIN(F1083,G1083),D1083)</f>
        <v/>
      </c>
      <c r="J1083">
        <f>D1083-I1083</f>
        <v/>
      </c>
      <c r="K1083">
        <f>F1083-MIN(F1083,G1083)-I1083</f>
        <v/>
      </c>
    </row>
    <row r="1084">
      <c r="A1084" s="21">
        <f>IF(Rechner!$E$4&lt;&gt;"ok","",IF(Rechner!$E$5+1082&lt;=Rechner!$B$6,Rechner!$E$5+1082,""))</f>
        <v/>
      </c>
      <c r="B1084">
        <f>IF(A1084="","",LOOKUP(A1084,Basiszins!$A$5:$A$18,Basiszins!$B$5:$B$18))</f>
        <v/>
      </c>
      <c r="C1084">
        <f>IF(A1084="","",B1084+Rechner!$E$7)</f>
        <v/>
      </c>
      <c r="D1084">
        <f>J1083</f>
        <v/>
      </c>
      <c r="E1084">
        <f>IF(A1084="",0,D1084*C1084/100/(DATE(YEAR(A1084)+1,1,1)-DATE(YEAR(A1084),1,1)))</f>
        <v/>
      </c>
      <c r="F1084">
        <f>IF(A1084="",0,SUMIF(Rechner!$A$12:$A$21,A1084,Rechner!$B$12:$B$21))</f>
        <v/>
      </c>
      <c r="G1084">
        <f>H1083+E1084</f>
        <v/>
      </c>
      <c r="H1084">
        <f>G1084-MIN(F1084,G1084)</f>
        <v/>
      </c>
      <c r="I1084">
        <f>MIN(F1084-MIN(F1084,G1084),D1084)</f>
        <v/>
      </c>
      <c r="J1084">
        <f>D1084-I1084</f>
        <v/>
      </c>
      <c r="K1084">
        <f>F1084-MIN(F1084,G1084)-I1084</f>
        <v/>
      </c>
    </row>
    <row r="1085">
      <c r="A1085" s="21">
        <f>IF(Rechner!$E$4&lt;&gt;"ok","",IF(Rechner!$E$5+1083&lt;=Rechner!$B$6,Rechner!$E$5+1083,""))</f>
        <v/>
      </c>
      <c r="B1085">
        <f>IF(A1085="","",LOOKUP(A1085,Basiszins!$A$5:$A$18,Basiszins!$B$5:$B$18))</f>
        <v/>
      </c>
      <c r="C1085">
        <f>IF(A1085="","",B1085+Rechner!$E$7)</f>
        <v/>
      </c>
      <c r="D1085">
        <f>J1084</f>
        <v/>
      </c>
      <c r="E1085">
        <f>IF(A1085="",0,D1085*C1085/100/(DATE(YEAR(A1085)+1,1,1)-DATE(YEAR(A1085),1,1)))</f>
        <v/>
      </c>
      <c r="F1085">
        <f>IF(A1085="",0,SUMIF(Rechner!$A$12:$A$21,A1085,Rechner!$B$12:$B$21))</f>
        <v/>
      </c>
      <c r="G1085">
        <f>H1084+E1085</f>
        <v/>
      </c>
      <c r="H1085">
        <f>G1085-MIN(F1085,G1085)</f>
        <v/>
      </c>
      <c r="I1085">
        <f>MIN(F1085-MIN(F1085,G1085),D1085)</f>
        <v/>
      </c>
      <c r="J1085">
        <f>D1085-I1085</f>
        <v/>
      </c>
      <c r="K1085">
        <f>F1085-MIN(F1085,G1085)-I1085</f>
        <v/>
      </c>
    </row>
    <row r="1086">
      <c r="A1086" s="21">
        <f>IF(Rechner!$E$4&lt;&gt;"ok","",IF(Rechner!$E$5+1084&lt;=Rechner!$B$6,Rechner!$E$5+1084,""))</f>
        <v/>
      </c>
      <c r="B1086">
        <f>IF(A1086="","",LOOKUP(A1086,Basiszins!$A$5:$A$18,Basiszins!$B$5:$B$18))</f>
        <v/>
      </c>
      <c r="C1086">
        <f>IF(A1086="","",B1086+Rechner!$E$7)</f>
        <v/>
      </c>
      <c r="D1086">
        <f>J1085</f>
        <v/>
      </c>
      <c r="E1086">
        <f>IF(A1086="",0,D1086*C1086/100/(DATE(YEAR(A1086)+1,1,1)-DATE(YEAR(A1086),1,1)))</f>
        <v/>
      </c>
      <c r="F1086">
        <f>IF(A1086="",0,SUMIF(Rechner!$A$12:$A$21,A1086,Rechner!$B$12:$B$21))</f>
        <v/>
      </c>
      <c r="G1086">
        <f>H1085+E1086</f>
        <v/>
      </c>
      <c r="H1086">
        <f>G1086-MIN(F1086,G1086)</f>
        <v/>
      </c>
      <c r="I1086">
        <f>MIN(F1086-MIN(F1086,G1086),D1086)</f>
        <v/>
      </c>
      <c r="J1086">
        <f>D1086-I1086</f>
        <v/>
      </c>
      <c r="K1086">
        <f>F1086-MIN(F1086,G1086)-I1086</f>
        <v/>
      </c>
    </row>
    <row r="1087">
      <c r="A1087" s="21">
        <f>IF(Rechner!$E$4&lt;&gt;"ok","",IF(Rechner!$E$5+1085&lt;=Rechner!$B$6,Rechner!$E$5+1085,""))</f>
        <v/>
      </c>
      <c r="B1087">
        <f>IF(A1087="","",LOOKUP(A1087,Basiszins!$A$5:$A$18,Basiszins!$B$5:$B$18))</f>
        <v/>
      </c>
      <c r="C1087">
        <f>IF(A1087="","",B1087+Rechner!$E$7)</f>
        <v/>
      </c>
      <c r="D1087">
        <f>J1086</f>
        <v/>
      </c>
      <c r="E1087">
        <f>IF(A1087="",0,D1087*C1087/100/(DATE(YEAR(A1087)+1,1,1)-DATE(YEAR(A1087),1,1)))</f>
        <v/>
      </c>
      <c r="F1087">
        <f>IF(A1087="",0,SUMIF(Rechner!$A$12:$A$21,A1087,Rechner!$B$12:$B$21))</f>
        <v/>
      </c>
      <c r="G1087">
        <f>H1086+E1087</f>
        <v/>
      </c>
      <c r="H1087">
        <f>G1087-MIN(F1087,G1087)</f>
        <v/>
      </c>
      <c r="I1087">
        <f>MIN(F1087-MIN(F1087,G1087),D1087)</f>
        <v/>
      </c>
      <c r="J1087">
        <f>D1087-I1087</f>
        <v/>
      </c>
      <c r="K1087">
        <f>F1087-MIN(F1087,G1087)-I1087</f>
        <v/>
      </c>
    </row>
    <row r="1088">
      <c r="A1088" s="21">
        <f>IF(Rechner!$E$4&lt;&gt;"ok","",IF(Rechner!$E$5+1086&lt;=Rechner!$B$6,Rechner!$E$5+1086,""))</f>
        <v/>
      </c>
      <c r="B1088">
        <f>IF(A1088="","",LOOKUP(A1088,Basiszins!$A$5:$A$18,Basiszins!$B$5:$B$18))</f>
        <v/>
      </c>
      <c r="C1088">
        <f>IF(A1088="","",B1088+Rechner!$E$7)</f>
        <v/>
      </c>
      <c r="D1088">
        <f>J1087</f>
        <v/>
      </c>
      <c r="E1088">
        <f>IF(A1088="",0,D1088*C1088/100/(DATE(YEAR(A1088)+1,1,1)-DATE(YEAR(A1088),1,1)))</f>
        <v/>
      </c>
      <c r="F1088">
        <f>IF(A1088="",0,SUMIF(Rechner!$A$12:$A$21,A1088,Rechner!$B$12:$B$21))</f>
        <v/>
      </c>
      <c r="G1088">
        <f>H1087+E1088</f>
        <v/>
      </c>
      <c r="H1088">
        <f>G1088-MIN(F1088,G1088)</f>
        <v/>
      </c>
      <c r="I1088">
        <f>MIN(F1088-MIN(F1088,G1088),D1088)</f>
        <v/>
      </c>
      <c r="J1088">
        <f>D1088-I1088</f>
        <v/>
      </c>
      <c r="K1088">
        <f>F1088-MIN(F1088,G1088)-I1088</f>
        <v/>
      </c>
    </row>
    <row r="1089">
      <c r="A1089" s="21">
        <f>IF(Rechner!$E$4&lt;&gt;"ok","",IF(Rechner!$E$5+1087&lt;=Rechner!$B$6,Rechner!$E$5+1087,""))</f>
        <v/>
      </c>
      <c r="B1089">
        <f>IF(A1089="","",LOOKUP(A1089,Basiszins!$A$5:$A$18,Basiszins!$B$5:$B$18))</f>
        <v/>
      </c>
      <c r="C1089">
        <f>IF(A1089="","",B1089+Rechner!$E$7)</f>
        <v/>
      </c>
      <c r="D1089">
        <f>J1088</f>
        <v/>
      </c>
      <c r="E1089">
        <f>IF(A1089="",0,D1089*C1089/100/(DATE(YEAR(A1089)+1,1,1)-DATE(YEAR(A1089),1,1)))</f>
        <v/>
      </c>
      <c r="F1089">
        <f>IF(A1089="",0,SUMIF(Rechner!$A$12:$A$21,A1089,Rechner!$B$12:$B$21))</f>
        <v/>
      </c>
      <c r="G1089">
        <f>H1088+E1089</f>
        <v/>
      </c>
      <c r="H1089">
        <f>G1089-MIN(F1089,G1089)</f>
        <v/>
      </c>
      <c r="I1089">
        <f>MIN(F1089-MIN(F1089,G1089),D1089)</f>
        <v/>
      </c>
      <c r="J1089">
        <f>D1089-I1089</f>
        <v/>
      </c>
      <c r="K1089">
        <f>F1089-MIN(F1089,G1089)-I1089</f>
        <v/>
      </c>
    </row>
    <row r="1090">
      <c r="A1090" s="21">
        <f>IF(Rechner!$E$4&lt;&gt;"ok","",IF(Rechner!$E$5+1088&lt;=Rechner!$B$6,Rechner!$E$5+1088,""))</f>
        <v/>
      </c>
      <c r="B1090">
        <f>IF(A1090="","",LOOKUP(A1090,Basiszins!$A$5:$A$18,Basiszins!$B$5:$B$18))</f>
        <v/>
      </c>
      <c r="C1090">
        <f>IF(A1090="","",B1090+Rechner!$E$7)</f>
        <v/>
      </c>
      <c r="D1090">
        <f>J1089</f>
        <v/>
      </c>
      <c r="E1090">
        <f>IF(A1090="",0,D1090*C1090/100/(DATE(YEAR(A1090)+1,1,1)-DATE(YEAR(A1090),1,1)))</f>
        <v/>
      </c>
      <c r="F1090">
        <f>IF(A1090="",0,SUMIF(Rechner!$A$12:$A$21,A1090,Rechner!$B$12:$B$21))</f>
        <v/>
      </c>
      <c r="G1090">
        <f>H1089+E1090</f>
        <v/>
      </c>
      <c r="H1090">
        <f>G1090-MIN(F1090,G1090)</f>
        <v/>
      </c>
      <c r="I1090">
        <f>MIN(F1090-MIN(F1090,G1090),D1090)</f>
        <v/>
      </c>
      <c r="J1090">
        <f>D1090-I1090</f>
        <v/>
      </c>
      <c r="K1090">
        <f>F1090-MIN(F1090,G1090)-I1090</f>
        <v/>
      </c>
    </row>
    <row r="1091">
      <c r="A1091" s="21">
        <f>IF(Rechner!$E$4&lt;&gt;"ok","",IF(Rechner!$E$5+1089&lt;=Rechner!$B$6,Rechner!$E$5+1089,""))</f>
        <v/>
      </c>
      <c r="B1091">
        <f>IF(A1091="","",LOOKUP(A1091,Basiszins!$A$5:$A$18,Basiszins!$B$5:$B$18))</f>
        <v/>
      </c>
      <c r="C1091">
        <f>IF(A1091="","",B1091+Rechner!$E$7)</f>
        <v/>
      </c>
      <c r="D1091">
        <f>J1090</f>
        <v/>
      </c>
      <c r="E1091">
        <f>IF(A1091="",0,D1091*C1091/100/(DATE(YEAR(A1091)+1,1,1)-DATE(YEAR(A1091),1,1)))</f>
        <v/>
      </c>
      <c r="F1091">
        <f>IF(A1091="",0,SUMIF(Rechner!$A$12:$A$21,A1091,Rechner!$B$12:$B$21))</f>
        <v/>
      </c>
      <c r="G1091">
        <f>H1090+E1091</f>
        <v/>
      </c>
      <c r="H1091">
        <f>G1091-MIN(F1091,G1091)</f>
        <v/>
      </c>
      <c r="I1091">
        <f>MIN(F1091-MIN(F1091,G1091),D1091)</f>
        <v/>
      </c>
      <c r="J1091">
        <f>D1091-I1091</f>
        <v/>
      </c>
      <c r="K1091">
        <f>F1091-MIN(F1091,G1091)-I1091</f>
        <v/>
      </c>
    </row>
    <row r="1092">
      <c r="A1092" s="21">
        <f>IF(Rechner!$E$4&lt;&gt;"ok","",IF(Rechner!$E$5+1090&lt;=Rechner!$B$6,Rechner!$E$5+1090,""))</f>
        <v/>
      </c>
      <c r="B1092">
        <f>IF(A1092="","",LOOKUP(A1092,Basiszins!$A$5:$A$18,Basiszins!$B$5:$B$18))</f>
        <v/>
      </c>
      <c r="C1092">
        <f>IF(A1092="","",B1092+Rechner!$E$7)</f>
        <v/>
      </c>
      <c r="D1092">
        <f>J1091</f>
        <v/>
      </c>
      <c r="E1092">
        <f>IF(A1092="",0,D1092*C1092/100/(DATE(YEAR(A1092)+1,1,1)-DATE(YEAR(A1092),1,1)))</f>
        <v/>
      </c>
      <c r="F1092">
        <f>IF(A1092="",0,SUMIF(Rechner!$A$12:$A$21,A1092,Rechner!$B$12:$B$21))</f>
        <v/>
      </c>
      <c r="G1092">
        <f>H1091+E1092</f>
        <v/>
      </c>
      <c r="H1092">
        <f>G1092-MIN(F1092,G1092)</f>
        <v/>
      </c>
      <c r="I1092">
        <f>MIN(F1092-MIN(F1092,G1092),D1092)</f>
        <v/>
      </c>
      <c r="J1092">
        <f>D1092-I1092</f>
        <v/>
      </c>
      <c r="K1092">
        <f>F1092-MIN(F1092,G1092)-I1092</f>
        <v/>
      </c>
    </row>
    <row r="1093">
      <c r="A1093" s="21">
        <f>IF(Rechner!$E$4&lt;&gt;"ok","",IF(Rechner!$E$5+1091&lt;=Rechner!$B$6,Rechner!$E$5+1091,""))</f>
        <v/>
      </c>
      <c r="B1093">
        <f>IF(A1093="","",LOOKUP(A1093,Basiszins!$A$5:$A$18,Basiszins!$B$5:$B$18))</f>
        <v/>
      </c>
      <c r="C1093">
        <f>IF(A1093="","",B1093+Rechner!$E$7)</f>
        <v/>
      </c>
      <c r="D1093">
        <f>J1092</f>
        <v/>
      </c>
      <c r="E1093">
        <f>IF(A1093="",0,D1093*C1093/100/(DATE(YEAR(A1093)+1,1,1)-DATE(YEAR(A1093),1,1)))</f>
        <v/>
      </c>
      <c r="F1093">
        <f>IF(A1093="",0,SUMIF(Rechner!$A$12:$A$21,A1093,Rechner!$B$12:$B$21))</f>
        <v/>
      </c>
      <c r="G1093">
        <f>H1092+E1093</f>
        <v/>
      </c>
      <c r="H1093">
        <f>G1093-MIN(F1093,G1093)</f>
        <v/>
      </c>
      <c r="I1093">
        <f>MIN(F1093-MIN(F1093,G1093),D1093)</f>
        <v/>
      </c>
      <c r="J1093">
        <f>D1093-I1093</f>
        <v/>
      </c>
      <c r="K1093">
        <f>F1093-MIN(F1093,G1093)-I1093</f>
        <v/>
      </c>
    </row>
    <row r="1094">
      <c r="A1094" s="21">
        <f>IF(Rechner!$E$4&lt;&gt;"ok","",IF(Rechner!$E$5+1092&lt;=Rechner!$B$6,Rechner!$E$5+1092,""))</f>
        <v/>
      </c>
      <c r="B1094">
        <f>IF(A1094="","",LOOKUP(A1094,Basiszins!$A$5:$A$18,Basiszins!$B$5:$B$18))</f>
        <v/>
      </c>
      <c r="C1094">
        <f>IF(A1094="","",B1094+Rechner!$E$7)</f>
        <v/>
      </c>
      <c r="D1094">
        <f>J1093</f>
        <v/>
      </c>
      <c r="E1094">
        <f>IF(A1094="",0,D1094*C1094/100/(DATE(YEAR(A1094)+1,1,1)-DATE(YEAR(A1094),1,1)))</f>
        <v/>
      </c>
      <c r="F1094">
        <f>IF(A1094="",0,SUMIF(Rechner!$A$12:$A$21,A1094,Rechner!$B$12:$B$21))</f>
        <v/>
      </c>
      <c r="G1094">
        <f>H1093+E1094</f>
        <v/>
      </c>
      <c r="H1094">
        <f>G1094-MIN(F1094,G1094)</f>
        <v/>
      </c>
      <c r="I1094">
        <f>MIN(F1094-MIN(F1094,G1094),D1094)</f>
        <v/>
      </c>
      <c r="J1094">
        <f>D1094-I1094</f>
        <v/>
      </c>
      <c r="K1094">
        <f>F1094-MIN(F1094,G1094)-I1094</f>
        <v/>
      </c>
    </row>
    <row r="1095">
      <c r="A1095" s="21">
        <f>IF(Rechner!$E$4&lt;&gt;"ok","",IF(Rechner!$E$5+1093&lt;=Rechner!$B$6,Rechner!$E$5+1093,""))</f>
        <v/>
      </c>
      <c r="B1095">
        <f>IF(A1095="","",LOOKUP(A1095,Basiszins!$A$5:$A$18,Basiszins!$B$5:$B$18))</f>
        <v/>
      </c>
      <c r="C1095">
        <f>IF(A1095="","",B1095+Rechner!$E$7)</f>
        <v/>
      </c>
      <c r="D1095">
        <f>J1094</f>
        <v/>
      </c>
      <c r="E1095">
        <f>IF(A1095="",0,D1095*C1095/100/(DATE(YEAR(A1095)+1,1,1)-DATE(YEAR(A1095),1,1)))</f>
        <v/>
      </c>
      <c r="F1095">
        <f>IF(A1095="",0,SUMIF(Rechner!$A$12:$A$21,A1095,Rechner!$B$12:$B$21))</f>
        <v/>
      </c>
      <c r="G1095">
        <f>H1094+E1095</f>
        <v/>
      </c>
      <c r="H1095">
        <f>G1095-MIN(F1095,G1095)</f>
        <v/>
      </c>
      <c r="I1095">
        <f>MIN(F1095-MIN(F1095,G1095),D1095)</f>
        <v/>
      </c>
      <c r="J1095">
        <f>D1095-I1095</f>
        <v/>
      </c>
      <c r="K1095">
        <f>F1095-MIN(F1095,G1095)-I1095</f>
        <v/>
      </c>
    </row>
    <row r="1096">
      <c r="A1096" s="21">
        <f>IF(Rechner!$E$4&lt;&gt;"ok","",IF(Rechner!$E$5+1094&lt;=Rechner!$B$6,Rechner!$E$5+1094,""))</f>
        <v/>
      </c>
      <c r="B1096">
        <f>IF(A1096="","",LOOKUP(A1096,Basiszins!$A$5:$A$18,Basiszins!$B$5:$B$18))</f>
        <v/>
      </c>
      <c r="C1096">
        <f>IF(A1096="","",B1096+Rechner!$E$7)</f>
        <v/>
      </c>
      <c r="D1096">
        <f>J1095</f>
        <v/>
      </c>
      <c r="E1096">
        <f>IF(A1096="",0,D1096*C1096/100/(DATE(YEAR(A1096)+1,1,1)-DATE(YEAR(A1096),1,1)))</f>
        <v/>
      </c>
      <c r="F1096">
        <f>IF(A1096="",0,SUMIF(Rechner!$A$12:$A$21,A1096,Rechner!$B$12:$B$21))</f>
        <v/>
      </c>
      <c r="G1096">
        <f>H1095+E1096</f>
        <v/>
      </c>
      <c r="H1096">
        <f>G1096-MIN(F1096,G1096)</f>
        <v/>
      </c>
      <c r="I1096">
        <f>MIN(F1096-MIN(F1096,G1096),D1096)</f>
        <v/>
      </c>
      <c r="J1096">
        <f>D1096-I1096</f>
        <v/>
      </c>
      <c r="K1096">
        <f>F1096-MIN(F1096,G1096)-I1096</f>
        <v/>
      </c>
    </row>
    <row r="1097">
      <c r="A1097" s="21">
        <f>IF(Rechner!$E$4&lt;&gt;"ok","",IF(Rechner!$E$5+1095&lt;=Rechner!$B$6,Rechner!$E$5+1095,""))</f>
        <v/>
      </c>
      <c r="B1097">
        <f>IF(A1097="","",LOOKUP(A1097,Basiszins!$A$5:$A$18,Basiszins!$B$5:$B$18))</f>
        <v/>
      </c>
      <c r="C1097">
        <f>IF(A1097="","",B1097+Rechner!$E$7)</f>
        <v/>
      </c>
      <c r="D1097">
        <f>J1096</f>
        <v/>
      </c>
      <c r="E1097">
        <f>IF(A1097="",0,D1097*C1097/100/(DATE(YEAR(A1097)+1,1,1)-DATE(YEAR(A1097),1,1)))</f>
        <v/>
      </c>
      <c r="F1097">
        <f>IF(A1097="",0,SUMIF(Rechner!$A$12:$A$21,A1097,Rechner!$B$12:$B$21))</f>
        <v/>
      </c>
      <c r="G1097">
        <f>H1096+E1097</f>
        <v/>
      </c>
      <c r="H1097">
        <f>G1097-MIN(F1097,G1097)</f>
        <v/>
      </c>
      <c r="I1097">
        <f>MIN(F1097-MIN(F1097,G1097),D1097)</f>
        <v/>
      </c>
      <c r="J1097">
        <f>D1097-I1097</f>
        <v/>
      </c>
      <c r="K1097">
        <f>F1097-MIN(F1097,G1097)-I1097</f>
        <v/>
      </c>
    </row>
    <row r="1098">
      <c r="A1098" s="21">
        <f>IF(Rechner!$E$4&lt;&gt;"ok","",IF(Rechner!$E$5+1096&lt;=Rechner!$B$6,Rechner!$E$5+1096,""))</f>
        <v/>
      </c>
      <c r="B1098">
        <f>IF(A1098="","",LOOKUP(A1098,Basiszins!$A$5:$A$18,Basiszins!$B$5:$B$18))</f>
        <v/>
      </c>
      <c r="C1098">
        <f>IF(A1098="","",B1098+Rechner!$E$7)</f>
        <v/>
      </c>
      <c r="D1098">
        <f>J1097</f>
        <v/>
      </c>
      <c r="E1098">
        <f>IF(A1098="",0,D1098*C1098/100/(DATE(YEAR(A1098)+1,1,1)-DATE(YEAR(A1098),1,1)))</f>
        <v/>
      </c>
      <c r="F1098">
        <f>IF(A1098="",0,SUMIF(Rechner!$A$12:$A$21,A1098,Rechner!$B$12:$B$21))</f>
        <v/>
      </c>
      <c r="G1098">
        <f>H1097+E1098</f>
        <v/>
      </c>
      <c r="H1098">
        <f>G1098-MIN(F1098,G1098)</f>
        <v/>
      </c>
      <c r="I1098">
        <f>MIN(F1098-MIN(F1098,G1098),D1098)</f>
        <v/>
      </c>
      <c r="J1098">
        <f>D1098-I1098</f>
        <v/>
      </c>
      <c r="K1098">
        <f>F1098-MIN(F1098,G1098)-I1098</f>
        <v/>
      </c>
    </row>
    <row r="1099">
      <c r="A1099" s="21">
        <f>IF(Rechner!$E$4&lt;&gt;"ok","",IF(Rechner!$E$5+1097&lt;=Rechner!$B$6,Rechner!$E$5+1097,""))</f>
        <v/>
      </c>
      <c r="B1099">
        <f>IF(A1099="","",LOOKUP(A1099,Basiszins!$A$5:$A$18,Basiszins!$B$5:$B$18))</f>
        <v/>
      </c>
      <c r="C1099">
        <f>IF(A1099="","",B1099+Rechner!$E$7)</f>
        <v/>
      </c>
      <c r="D1099">
        <f>J1098</f>
        <v/>
      </c>
      <c r="E1099">
        <f>IF(A1099="",0,D1099*C1099/100/(DATE(YEAR(A1099)+1,1,1)-DATE(YEAR(A1099),1,1)))</f>
        <v/>
      </c>
      <c r="F1099">
        <f>IF(A1099="",0,SUMIF(Rechner!$A$12:$A$21,A1099,Rechner!$B$12:$B$21))</f>
        <v/>
      </c>
      <c r="G1099">
        <f>H1098+E1099</f>
        <v/>
      </c>
      <c r="H1099">
        <f>G1099-MIN(F1099,G1099)</f>
        <v/>
      </c>
      <c r="I1099">
        <f>MIN(F1099-MIN(F1099,G1099),D1099)</f>
        <v/>
      </c>
      <c r="J1099">
        <f>D1099-I1099</f>
        <v/>
      </c>
      <c r="K1099">
        <f>F1099-MIN(F1099,G1099)-I1099</f>
        <v/>
      </c>
    </row>
    <row r="1100">
      <c r="A1100" s="21">
        <f>IF(Rechner!$E$4&lt;&gt;"ok","",IF(Rechner!$E$5+1098&lt;=Rechner!$B$6,Rechner!$E$5+1098,""))</f>
        <v/>
      </c>
      <c r="B1100">
        <f>IF(A1100="","",LOOKUP(A1100,Basiszins!$A$5:$A$18,Basiszins!$B$5:$B$18))</f>
        <v/>
      </c>
      <c r="C1100">
        <f>IF(A1100="","",B1100+Rechner!$E$7)</f>
        <v/>
      </c>
      <c r="D1100">
        <f>J1099</f>
        <v/>
      </c>
      <c r="E1100">
        <f>IF(A1100="",0,D1100*C1100/100/(DATE(YEAR(A1100)+1,1,1)-DATE(YEAR(A1100),1,1)))</f>
        <v/>
      </c>
      <c r="F1100">
        <f>IF(A1100="",0,SUMIF(Rechner!$A$12:$A$21,A1100,Rechner!$B$12:$B$21))</f>
        <v/>
      </c>
      <c r="G1100">
        <f>H1099+E1100</f>
        <v/>
      </c>
      <c r="H1100">
        <f>G1100-MIN(F1100,G1100)</f>
        <v/>
      </c>
      <c r="I1100">
        <f>MIN(F1100-MIN(F1100,G1100),D1100)</f>
        <v/>
      </c>
      <c r="J1100">
        <f>D1100-I1100</f>
        <v/>
      </c>
      <c r="K1100">
        <f>F1100-MIN(F1100,G1100)-I1100</f>
        <v/>
      </c>
    </row>
    <row r="1101">
      <c r="A1101" s="21">
        <f>IF(Rechner!$E$4&lt;&gt;"ok","",IF(Rechner!$E$5+1099&lt;=Rechner!$B$6,Rechner!$E$5+1099,""))</f>
        <v/>
      </c>
      <c r="B1101">
        <f>IF(A1101="","",LOOKUP(A1101,Basiszins!$A$5:$A$18,Basiszins!$B$5:$B$18))</f>
        <v/>
      </c>
      <c r="C1101">
        <f>IF(A1101="","",B1101+Rechner!$E$7)</f>
        <v/>
      </c>
      <c r="D1101">
        <f>J1100</f>
        <v/>
      </c>
      <c r="E1101">
        <f>IF(A1101="",0,D1101*C1101/100/(DATE(YEAR(A1101)+1,1,1)-DATE(YEAR(A1101),1,1)))</f>
        <v/>
      </c>
      <c r="F1101">
        <f>IF(A1101="",0,SUMIF(Rechner!$A$12:$A$21,A1101,Rechner!$B$12:$B$21))</f>
        <v/>
      </c>
      <c r="G1101">
        <f>H1100+E1101</f>
        <v/>
      </c>
      <c r="H1101">
        <f>G1101-MIN(F1101,G1101)</f>
        <v/>
      </c>
      <c r="I1101">
        <f>MIN(F1101-MIN(F1101,G1101),D1101)</f>
        <v/>
      </c>
      <c r="J1101">
        <f>D1101-I1101</f>
        <v/>
      </c>
      <c r="K1101">
        <f>F1101-MIN(F1101,G1101)-I1101</f>
        <v/>
      </c>
    </row>
    <row r="1102">
      <c r="A1102" s="21">
        <f>IF(Rechner!$E$4&lt;&gt;"ok","",IF(Rechner!$E$5+1100&lt;=Rechner!$B$6,Rechner!$E$5+1100,""))</f>
        <v/>
      </c>
      <c r="B1102">
        <f>IF(A1102="","",LOOKUP(A1102,Basiszins!$A$5:$A$18,Basiszins!$B$5:$B$18))</f>
        <v/>
      </c>
      <c r="C1102">
        <f>IF(A1102="","",B1102+Rechner!$E$7)</f>
        <v/>
      </c>
      <c r="D1102">
        <f>J1101</f>
        <v/>
      </c>
      <c r="E1102">
        <f>IF(A1102="",0,D1102*C1102/100/(DATE(YEAR(A1102)+1,1,1)-DATE(YEAR(A1102),1,1)))</f>
        <v/>
      </c>
      <c r="F1102">
        <f>IF(A1102="",0,SUMIF(Rechner!$A$12:$A$21,A1102,Rechner!$B$12:$B$21))</f>
        <v/>
      </c>
      <c r="G1102">
        <f>H1101+E1102</f>
        <v/>
      </c>
      <c r="H1102">
        <f>G1102-MIN(F1102,G1102)</f>
        <v/>
      </c>
      <c r="I1102">
        <f>MIN(F1102-MIN(F1102,G1102),D1102)</f>
        <v/>
      </c>
      <c r="J1102">
        <f>D1102-I1102</f>
        <v/>
      </c>
      <c r="K1102">
        <f>F1102-MIN(F1102,G1102)-I1102</f>
        <v/>
      </c>
    </row>
    <row r="1103">
      <c r="A1103" s="21">
        <f>IF(Rechner!$E$4&lt;&gt;"ok","",IF(Rechner!$E$5+1101&lt;=Rechner!$B$6,Rechner!$E$5+1101,""))</f>
        <v/>
      </c>
      <c r="B1103">
        <f>IF(A1103="","",LOOKUP(A1103,Basiszins!$A$5:$A$18,Basiszins!$B$5:$B$18))</f>
        <v/>
      </c>
      <c r="C1103">
        <f>IF(A1103="","",B1103+Rechner!$E$7)</f>
        <v/>
      </c>
      <c r="D1103">
        <f>J1102</f>
        <v/>
      </c>
      <c r="E1103">
        <f>IF(A1103="",0,D1103*C1103/100/(DATE(YEAR(A1103)+1,1,1)-DATE(YEAR(A1103),1,1)))</f>
        <v/>
      </c>
      <c r="F1103">
        <f>IF(A1103="",0,SUMIF(Rechner!$A$12:$A$21,A1103,Rechner!$B$12:$B$21))</f>
        <v/>
      </c>
      <c r="G1103">
        <f>H1102+E1103</f>
        <v/>
      </c>
      <c r="H1103">
        <f>G1103-MIN(F1103,G1103)</f>
        <v/>
      </c>
      <c r="I1103">
        <f>MIN(F1103-MIN(F1103,G1103),D1103)</f>
        <v/>
      </c>
      <c r="J1103">
        <f>D1103-I1103</f>
        <v/>
      </c>
      <c r="K1103">
        <f>F1103-MIN(F1103,G1103)-I1103</f>
        <v/>
      </c>
    </row>
    <row r="1104">
      <c r="A1104" s="21">
        <f>IF(Rechner!$E$4&lt;&gt;"ok","",IF(Rechner!$E$5+1102&lt;=Rechner!$B$6,Rechner!$E$5+1102,""))</f>
        <v/>
      </c>
      <c r="B1104">
        <f>IF(A1104="","",LOOKUP(A1104,Basiszins!$A$5:$A$18,Basiszins!$B$5:$B$18))</f>
        <v/>
      </c>
      <c r="C1104">
        <f>IF(A1104="","",B1104+Rechner!$E$7)</f>
        <v/>
      </c>
      <c r="D1104">
        <f>J1103</f>
        <v/>
      </c>
      <c r="E1104">
        <f>IF(A1104="",0,D1104*C1104/100/(DATE(YEAR(A1104)+1,1,1)-DATE(YEAR(A1104),1,1)))</f>
        <v/>
      </c>
      <c r="F1104">
        <f>IF(A1104="",0,SUMIF(Rechner!$A$12:$A$21,A1104,Rechner!$B$12:$B$21))</f>
        <v/>
      </c>
      <c r="G1104">
        <f>H1103+E1104</f>
        <v/>
      </c>
      <c r="H1104">
        <f>G1104-MIN(F1104,G1104)</f>
        <v/>
      </c>
      <c r="I1104">
        <f>MIN(F1104-MIN(F1104,G1104),D1104)</f>
        <v/>
      </c>
      <c r="J1104">
        <f>D1104-I1104</f>
        <v/>
      </c>
      <c r="K1104">
        <f>F1104-MIN(F1104,G1104)-I1104</f>
        <v/>
      </c>
    </row>
    <row r="1105">
      <c r="A1105" s="21">
        <f>IF(Rechner!$E$4&lt;&gt;"ok","",IF(Rechner!$E$5+1103&lt;=Rechner!$B$6,Rechner!$E$5+1103,""))</f>
        <v/>
      </c>
      <c r="B1105">
        <f>IF(A1105="","",LOOKUP(A1105,Basiszins!$A$5:$A$18,Basiszins!$B$5:$B$18))</f>
        <v/>
      </c>
      <c r="C1105">
        <f>IF(A1105="","",B1105+Rechner!$E$7)</f>
        <v/>
      </c>
      <c r="D1105">
        <f>J1104</f>
        <v/>
      </c>
      <c r="E1105">
        <f>IF(A1105="",0,D1105*C1105/100/(DATE(YEAR(A1105)+1,1,1)-DATE(YEAR(A1105),1,1)))</f>
        <v/>
      </c>
      <c r="F1105">
        <f>IF(A1105="",0,SUMIF(Rechner!$A$12:$A$21,A1105,Rechner!$B$12:$B$21))</f>
        <v/>
      </c>
      <c r="G1105">
        <f>H1104+E1105</f>
        <v/>
      </c>
      <c r="H1105">
        <f>G1105-MIN(F1105,G1105)</f>
        <v/>
      </c>
      <c r="I1105">
        <f>MIN(F1105-MIN(F1105,G1105),D1105)</f>
        <v/>
      </c>
      <c r="J1105">
        <f>D1105-I1105</f>
        <v/>
      </c>
      <c r="K1105">
        <f>F1105-MIN(F1105,G1105)-I1105</f>
        <v/>
      </c>
    </row>
    <row r="1106">
      <c r="A1106" s="21">
        <f>IF(Rechner!$E$4&lt;&gt;"ok","",IF(Rechner!$E$5+1104&lt;=Rechner!$B$6,Rechner!$E$5+1104,""))</f>
        <v/>
      </c>
      <c r="B1106">
        <f>IF(A1106="","",LOOKUP(A1106,Basiszins!$A$5:$A$18,Basiszins!$B$5:$B$18))</f>
        <v/>
      </c>
      <c r="C1106">
        <f>IF(A1106="","",B1106+Rechner!$E$7)</f>
        <v/>
      </c>
      <c r="D1106">
        <f>J1105</f>
        <v/>
      </c>
      <c r="E1106">
        <f>IF(A1106="",0,D1106*C1106/100/(DATE(YEAR(A1106)+1,1,1)-DATE(YEAR(A1106),1,1)))</f>
        <v/>
      </c>
      <c r="F1106">
        <f>IF(A1106="",0,SUMIF(Rechner!$A$12:$A$21,A1106,Rechner!$B$12:$B$21))</f>
        <v/>
      </c>
      <c r="G1106">
        <f>H1105+E1106</f>
        <v/>
      </c>
      <c r="H1106">
        <f>G1106-MIN(F1106,G1106)</f>
        <v/>
      </c>
      <c r="I1106">
        <f>MIN(F1106-MIN(F1106,G1106),D1106)</f>
        <v/>
      </c>
      <c r="J1106">
        <f>D1106-I1106</f>
        <v/>
      </c>
      <c r="K1106">
        <f>F1106-MIN(F1106,G1106)-I1106</f>
        <v/>
      </c>
    </row>
    <row r="1107">
      <c r="A1107" s="21">
        <f>IF(Rechner!$E$4&lt;&gt;"ok","",IF(Rechner!$E$5+1105&lt;=Rechner!$B$6,Rechner!$E$5+1105,""))</f>
        <v/>
      </c>
      <c r="B1107">
        <f>IF(A1107="","",LOOKUP(A1107,Basiszins!$A$5:$A$18,Basiszins!$B$5:$B$18))</f>
        <v/>
      </c>
      <c r="C1107">
        <f>IF(A1107="","",B1107+Rechner!$E$7)</f>
        <v/>
      </c>
      <c r="D1107">
        <f>J1106</f>
        <v/>
      </c>
      <c r="E1107">
        <f>IF(A1107="",0,D1107*C1107/100/(DATE(YEAR(A1107)+1,1,1)-DATE(YEAR(A1107),1,1)))</f>
        <v/>
      </c>
      <c r="F1107">
        <f>IF(A1107="",0,SUMIF(Rechner!$A$12:$A$21,A1107,Rechner!$B$12:$B$21))</f>
        <v/>
      </c>
      <c r="G1107">
        <f>H1106+E1107</f>
        <v/>
      </c>
      <c r="H1107">
        <f>G1107-MIN(F1107,G1107)</f>
        <v/>
      </c>
      <c r="I1107">
        <f>MIN(F1107-MIN(F1107,G1107),D1107)</f>
        <v/>
      </c>
      <c r="J1107">
        <f>D1107-I1107</f>
        <v/>
      </c>
      <c r="K1107">
        <f>F1107-MIN(F1107,G1107)-I1107</f>
        <v/>
      </c>
    </row>
    <row r="1108">
      <c r="A1108" s="21">
        <f>IF(Rechner!$E$4&lt;&gt;"ok","",IF(Rechner!$E$5+1106&lt;=Rechner!$B$6,Rechner!$E$5+1106,""))</f>
        <v/>
      </c>
      <c r="B1108">
        <f>IF(A1108="","",LOOKUP(A1108,Basiszins!$A$5:$A$18,Basiszins!$B$5:$B$18))</f>
        <v/>
      </c>
      <c r="C1108">
        <f>IF(A1108="","",B1108+Rechner!$E$7)</f>
        <v/>
      </c>
      <c r="D1108">
        <f>J1107</f>
        <v/>
      </c>
      <c r="E1108">
        <f>IF(A1108="",0,D1108*C1108/100/(DATE(YEAR(A1108)+1,1,1)-DATE(YEAR(A1108),1,1)))</f>
        <v/>
      </c>
      <c r="F1108">
        <f>IF(A1108="",0,SUMIF(Rechner!$A$12:$A$21,A1108,Rechner!$B$12:$B$21))</f>
        <v/>
      </c>
      <c r="G1108">
        <f>H1107+E1108</f>
        <v/>
      </c>
      <c r="H1108">
        <f>G1108-MIN(F1108,G1108)</f>
        <v/>
      </c>
      <c r="I1108">
        <f>MIN(F1108-MIN(F1108,G1108),D1108)</f>
        <v/>
      </c>
      <c r="J1108">
        <f>D1108-I1108</f>
        <v/>
      </c>
      <c r="K1108">
        <f>F1108-MIN(F1108,G1108)-I1108</f>
        <v/>
      </c>
    </row>
    <row r="1109">
      <c r="A1109" s="21">
        <f>IF(Rechner!$E$4&lt;&gt;"ok","",IF(Rechner!$E$5+1107&lt;=Rechner!$B$6,Rechner!$E$5+1107,""))</f>
        <v/>
      </c>
      <c r="B1109">
        <f>IF(A1109="","",LOOKUP(A1109,Basiszins!$A$5:$A$18,Basiszins!$B$5:$B$18))</f>
        <v/>
      </c>
      <c r="C1109">
        <f>IF(A1109="","",B1109+Rechner!$E$7)</f>
        <v/>
      </c>
      <c r="D1109">
        <f>J1108</f>
        <v/>
      </c>
      <c r="E1109">
        <f>IF(A1109="",0,D1109*C1109/100/(DATE(YEAR(A1109)+1,1,1)-DATE(YEAR(A1109),1,1)))</f>
        <v/>
      </c>
      <c r="F1109">
        <f>IF(A1109="",0,SUMIF(Rechner!$A$12:$A$21,A1109,Rechner!$B$12:$B$21))</f>
        <v/>
      </c>
      <c r="G1109">
        <f>H1108+E1109</f>
        <v/>
      </c>
      <c r="H1109">
        <f>G1109-MIN(F1109,G1109)</f>
        <v/>
      </c>
      <c r="I1109">
        <f>MIN(F1109-MIN(F1109,G1109),D1109)</f>
        <v/>
      </c>
      <c r="J1109">
        <f>D1109-I1109</f>
        <v/>
      </c>
      <c r="K1109">
        <f>F1109-MIN(F1109,G1109)-I1109</f>
        <v/>
      </c>
    </row>
    <row r="1110">
      <c r="A1110" s="21">
        <f>IF(Rechner!$E$4&lt;&gt;"ok","",IF(Rechner!$E$5+1108&lt;=Rechner!$B$6,Rechner!$E$5+1108,""))</f>
        <v/>
      </c>
      <c r="B1110">
        <f>IF(A1110="","",LOOKUP(A1110,Basiszins!$A$5:$A$18,Basiszins!$B$5:$B$18))</f>
        <v/>
      </c>
      <c r="C1110">
        <f>IF(A1110="","",B1110+Rechner!$E$7)</f>
        <v/>
      </c>
      <c r="D1110">
        <f>J1109</f>
        <v/>
      </c>
      <c r="E1110">
        <f>IF(A1110="",0,D1110*C1110/100/(DATE(YEAR(A1110)+1,1,1)-DATE(YEAR(A1110),1,1)))</f>
        <v/>
      </c>
      <c r="F1110">
        <f>IF(A1110="",0,SUMIF(Rechner!$A$12:$A$21,A1110,Rechner!$B$12:$B$21))</f>
        <v/>
      </c>
      <c r="G1110">
        <f>H1109+E1110</f>
        <v/>
      </c>
      <c r="H1110">
        <f>G1110-MIN(F1110,G1110)</f>
        <v/>
      </c>
      <c r="I1110">
        <f>MIN(F1110-MIN(F1110,G1110),D1110)</f>
        <v/>
      </c>
      <c r="J1110">
        <f>D1110-I1110</f>
        <v/>
      </c>
      <c r="K1110">
        <f>F1110-MIN(F1110,G1110)-I1110</f>
        <v/>
      </c>
    </row>
    <row r="1111">
      <c r="A1111" s="21">
        <f>IF(Rechner!$E$4&lt;&gt;"ok","",IF(Rechner!$E$5+1109&lt;=Rechner!$B$6,Rechner!$E$5+1109,""))</f>
        <v/>
      </c>
      <c r="B1111">
        <f>IF(A1111="","",LOOKUP(A1111,Basiszins!$A$5:$A$18,Basiszins!$B$5:$B$18))</f>
        <v/>
      </c>
      <c r="C1111">
        <f>IF(A1111="","",B1111+Rechner!$E$7)</f>
        <v/>
      </c>
      <c r="D1111">
        <f>J1110</f>
        <v/>
      </c>
      <c r="E1111">
        <f>IF(A1111="",0,D1111*C1111/100/(DATE(YEAR(A1111)+1,1,1)-DATE(YEAR(A1111),1,1)))</f>
        <v/>
      </c>
      <c r="F1111">
        <f>IF(A1111="",0,SUMIF(Rechner!$A$12:$A$21,A1111,Rechner!$B$12:$B$21))</f>
        <v/>
      </c>
      <c r="G1111">
        <f>H1110+E1111</f>
        <v/>
      </c>
      <c r="H1111">
        <f>G1111-MIN(F1111,G1111)</f>
        <v/>
      </c>
      <c r="I1111">
        <f>MIN(F1111-MIN(F1111,G1111),D1111)</f>
        <v/>
      </c>
      <c r="J1111">
        <f>D1111-I1111</f>
        <v/>
      </c>
      <c r="K1111">
        <f>F1111-MIN(F1111,G1111)-I1111</f>
        <v/>
      </c>
    </row>
    <row r="1112">
      <c r="A1112" s="21">
        <f>IF(Rechner!$E$4&lt;&gt;"ok","",IF(Rechner!$E$5+1110&lt;=Rechner!$B$6,Rechner!$E$5+1110,""))</f>
        <v/>
      </c>
      <c r="B1112">
        <f>IF(A1112="","",LOOKUP(A1112,Basiszins!$A$5:$A$18,Basiszins!$B$5:$B$18))</f>
        <v/>
      </c>
      <c r="C1112">
        <f>IF(A1112="","",B1112+Rechner!$E$7)</f>
        <v/>
      </c>
      <c r="D1112">
        <f>J1111</f>
        <v/>
      </c>
      <c r="E1112">
        <f>IF(A1112="",0,D1112*C1112/100/(DATE(YEAR(A1112)+1,1,1)-DATE(YEAR(A1112),1,1)))</f>
        <v/>
      </c>
      <c r="F1112">
        <f>IF(A1112="",0,SUMIF(Rechner!$A$12:$A$21,A1112,Rechner!$B$12:$B$21))</f>
        <v/>
      </c>
      <c r="G1112">
        <f>H1111+E1112</f>
        <v/>
      </c>
      <c r="H1112">
        <f>G1112-MIN(F1112,G1112)</f>
        <v/>
      </c>
      <c r="I1112">
        <f>MIN(F1112-MIN(F1112,G1112),D1112)</f>
        <v/>
      </c>
      <c r="J1112">
        <f>D1112-I1112</f>
        <v/>
      </c>
      <c r="K1112">
        <f>F1112-MIN(F1112,G1112)-I1112</f>
        <v/>
      </c>
    </row>
    <row r="1113">
      <c r="A1113" s="21">
        <f>IF(Rechner!$E$4&lt;&gt;"ok","",IF(Rechner!$E$5+1111&lt;=Rechner!$B$6,Rechner!$E$5+1111,""))</f>
        <v/>
      </c>
      <c r="B1113">
        <f>IF(A1113="","",LOOKUP(A1113,Basiszins!$A$5:$A$18,Basiszins!$B$5:$B$18))</f>
        <v/>
      </c>
      <c r="C1113">
        <f>IF(A1113="","",B1113+Rechner!$E$7)</f>
        <v/>
      </c>
      <c r="D1113">
        <f>J1112</f>
        <v/>
      </c>
      <c r="E1113">
        <f>IF(A1113="",0,D1113*C1113/100/(DATE(YEAR(A1113)+1,1,1)-DATE(YEAR(A1113),1,1)))</f>
        <v/>
      </c>
      <c r="F1113">
        <f>IF(A1113="",0,SUMIF(Rechner!$A$12:$A$21,A1113,Rechner!$B$12:$B$21))</f>
        <v/>
      </c>
      <c r="G1113">
        <f>H1112+E1113</f>
        <v/>
      </c>
      <c r="H1113">
        <f>G1113-MIN(F1113,G1113)</f>
        <v/>
      </c>
      <c r="I1113">
        <f>MIN(F1113-MIN(F1113,G1113),D1113)</f>
        <v/>
      </c>
      <c r="J1113">
        <f>D1113-I1113</f>
        <v/>
      </c>
      <c r="K1113">
        <f>F1113-MIN(F1113,G1113)-I1113</f>
        <v/>
      </c>
    </row>
    <row r="1114">
      <c r="A1114" s="21">
        <f>IF(Rechner!$E$4&lt;&gt;"ok","",IF(Rechner!$E$5+1112&lt;=Rechner!$B$6,Rechner!$E$5+1112,""))</f>
        <v/>
      </c>
      <c r="B1114">
        <f>IF(A1114="","",LOOKUP(A1114,Basiszins!$A$5:$A$18,Basiszins!$B$5:$B$18))</f>
        <v/>
      </c>
      <c r="C1114">
        <f>IF(A1114="","",B1114+Rechner!$E$7)</f>
        <v/>
      </c>
      <c r="D1114">
        <f>J1113</f>
        <v/>
      </c>
      <c r="E1114">
        <f>IF(A1114="",0,D1114*C1114/100/(DATE(YEAR(A1114)+1,1,1)-DATE(YEAR(A1114),1,1)))</f>
        <v/>
      </c>
      <c r="F1114">
        <f>IF(A1114="",0,SUMIF(Rechner!$A$12:$A$21,A1114,Rechner!$B$12:$B$21))</f>
        <v/>
      </c>
      <c r="G1114">
        <f>H1113+E1114</f>
        <v/>
      </c>
      <c r="H1114">
        <f>G1114-MIN(F1114,G1114)</f>
        <v/>
      </c>
      <c r="I1114">
        <f>MIN(F1114-MIN(F1114,G1114),D1114)</f>
        <v/>
      </c>
      <c r="J1114">
        <f>D1114-I1114</f>
        <v/>
      </c>
      <c r="K1114">
        <f>F1114-MIN(F1114,G1114)-I1114</f>
        <v/>
      </c>
    </row>
    <row r="1115">
      <c r="A1115" s="21">
        <f>IF(Rechner!$E$4&lt;&gt;"ok","",IF(Rechner!$E$5+1113&lt;=Rechner!$B$6,Rechner!$E$5+1113,""))</f>
        <v/>
      </c>
      <c r="B1115">
        <f>IF(A1115="","",LOOKUP(A1115,Basiszins!$A$5:$A$18,Basiszins!$B$5:$B$18))</f>
        <v/>
      </c>
      <c r="C1115">
        <f>IF(A1115="","",B1115+Rechner!$E$7)</f>
        <v/>
      </c>
      <c r="D1115">
        <f>J1114</f>
        <v/>
      </c>
      <c r="E1115">
        <f>IF(A1115="",0,D1115*C1115/100/(DATE(YEAR(A1115)+1,1,1)-DATE(YEAR(A1115),1,1)))</f>
        <v/>
      </c>
      <c r="F1115">
        <f>IF(A1115="",0,SUMIF(Rechner!$A$12:$A$21,A1115,Rechner!$B$12:$B$21))</f>
        <v/>
      </c>
      <c r="G1115">
        <f>H1114+E1115</f>
        <v/>
      </c>
      <c r="H1115">
        <f>G1115-MIN(F1115,G1115)</f>
        <v/>
      </c>
      <c r="I1115">
        <f>MIN(F1115-MIN(F1115,G1115),D1115)</f>
        <v/>
      </c>
      <c r="J1115">
        <f>D1115-I1115</f>
        <v/>
      </c>
      <c r="K1115">
        <f>F1115-MIN(F1115,G1115)-I1115</f>
        <v/>
      </c>
    </row>
    <row r="1116">
      <c r="A1116" s="21">
        <f>IF(Rechner!$E$4&lt;&gt;"ok","",IF(Rechner!$E$5+1114&lt;=Rechner!$B$6,Rechner!$E$5+1114,""))</f>
        <v/>
      </c>
      <c r="B1116">
        <f>IF(A1116="","",LOOKUP(A1116,Basiszins!$A$5:$A$18,Basiszins!$B$5:$B$18))</f>
        <v/>
      </c>
      <c r="C1116">
        <f>IF(A1116="","",B1116+Rechner!$E$7)</f>
        <v/>
      </c>
      <c r="D1116">
        <f>J1115</f>
        <v/>
      </c>
      <c r="E1116">
        <f>IF(A1116="",0,D1116*C1116/100/(DATE(YEAR(A1116)+1,1,1)-DATE(YEAR(A1116),1,1)))</f>
        <v/>
      </c>
      <c r="F1116">
        <f>IF(A1116="",0,SUMIF(Rechner!$A$12:$A$21,A1116,Rechner!$B$12:$B$21))</f>
        <v/>
      </c>
      <c r="G1116">
        <f>H1115+E1116</f>
        <v/>
      </c>
      <c r="H1116">
        <f>G1116-MIN(F1116,G1116)</f>
        <v/>
      </c>
      <c r="I1116">
        <f>MIN(F1116-MIN(F1116,G1116),D1116)</f>
        <v/>
      </c>
      <c r="J1116">
        <f>D1116-I1116</f>
        <v/>
      </c>
      <c r="K1116">
        <f>F1116-MIN(F1116,G1116)-I1116</f>
        <v/>
      </c>
    </row>
    <row r="1117">
      <c r="A1117" s="21">
        <f>IF(Rechner!$E$4&lt;&gt;"ok","",IF(Rechner!$E$5+1115&lt;=Rechner!$B$6,Rechner!$E$5+1115,""))</f>
        <v/>
      </c>
      <c r="B1117">
        <f>IF(A1117="","",LOOKUP(A1117,Basiszins!$A$5:$A$18,Basiszins!$B$5:$B$18))</f>
        <v/>
      </c>
      <c r="C1117">
        <f>IF(A1117="","",B1117+Rechner!$E$7)</f>
        <v/>
      </c>
      <c r="D1117">
        <f>J1116</f>
        <v/>
      </c>
      <c r="E1117">
        <f>IF(A1117="",0,D1117*C1117/100/(DATE(YEAR(A1117)+1,1,1)-DATE(YEAR(A1117),1,1)))</f>
        <v/>
      </c>
      <c r="F1117">
        <f>IF(A1117="",0,SUMIF(Rechner!$A$12:$A$21,A1117,Rechner!$B$12:$B$21))</f>
        <v/>
      </c>
      <c r="G1117">
        <f>H1116+E1117</f>
        <v/>
      </c>
      <c r="H1117">
        <f>G1117-MIN(F1117,G1117)</f>
        <v/>
      </c>
      <c r="I1117">
        <f>MIN(F1117-MIN(F1117,G1117),D1117)</f>
        <v/>
      </c>
      <c r="J1117">
        <f>D1117-I1117</f>
        <v/>
      </c>
      <c r="K1117">
        <f>F1117-MIN(F1117,G1117)-I1117</f>
        <v/>
      </c>
    </row>
    <row r="1118">
      <c r="A1118" s="21">
        <f>IF(Rechner!$E$4&lt;&gt;"ok","",IF(Rechner!$E$5+1116&lt;=Rechner!$B$6,Rechner!$E$5+1116,""))</f>
        <v/>
      </c>
      <c r="B1118">
        <f>IF(A1118="","",LOOKUP(A1118,Basiszins!$A$5:$A$18,Basiszins!$B$5:$B$18))</f>
        <v/>
      </c>
      <c r="C1118">
        <f>IF(A1118="","",B1118+Rechner!$E$7)</f>
        <v/>
      </c>
      <c r="D1118">
        <f>J1117</f>
        <v/>
      </c>
      <c r="E1118">
        <f>IF(A1118="",0,D1118*C1118/100/(DATE(YEAR(A1118)+1,1,1)-DATE(YEAR(A1118),1,1)))</f>
        <v/>
      </c>
      <c r="F1118">
        <f>IF(A1118="",0,SUMIF(Rechner!$A$12:$A$21,A1118,Rechner!$B$12:$B$21))</f>
        <v/>
      </c>
      <c r="G1118">
        <f>H1117+E1118</f>
        <v/>
      </c>
      <c r="H1118">
        <f>G1118-MIN(F1118,G1118)</f>
        <v/>
      </c>
      <c r="I1118">
        <f>MIN(F1118-MIN(F1118,G1118),D1118)</f>
        <v/>
      </c>
      <c r="J1118">
        <f>D1118-I1118</f>
        <v/>
      </c>
      <c r="K1118">
        <f>F1118-MIN(F1118,G1118)-I1118</f>
        <v/>
      </c>
    </row>
    <row r="1119">
      <c r="A1119" s="21">
        <f>IF(Rechner!$E$4&lt;&gt;"ok","",IF(Rechner!$E$5+1117&lt;=Rechner!$B$6,Rechner!$E$5+1117,""))</f>
        <v/>
      </c>
      <c r="B1119">
        <f>IF(A1119="","",LOOKUP(A1119,Basiszins!$A$5:$A$18,Basiszins!$B$5:$B$18))</f>
        <v/>
      </c>
      <c r="C1119">
        <f>IF(A1119="","",B1119+Rechner!$E$7)</f>
        <v/>
      </c>
      <c r="D1119">
        <f>J1118</f>
        <v/>
      </c>
      <c r="E1119">
        <f>IF(A1119="",0,D1119*C1119/100/(DATE(YEAR(A1119)+1,1,1)-DATE(YEAR(A1119),1,1)))</f>
        <v/>
      </c>
      <c r="F1119">
        <f>IF(A1119="",0,SUMIF(Rechner!$A$12:$A$21,A1119,Rechner!$B$12:$B$21))</f>
        <v/>
      </c>
      <c r="G1119">
        <f>H1118+E1119</f>
        <v/>
      </c>
      <c r="H1119">
        <f>G1119-MIN(F1119,G1119)</f>
        <v/>
      </c>
      <c r="I1119">
        <f>MIN(F1119-MIN(F1119,G1119),D1119)</f>
        <v/>
      </c>
      <c r="J1119">
        <f>D1119-I1119</f>
        <v/>
      </c>
      <c r="K1119">
        <f>F1119-MIN(F1119,G1119)-I1119</f>
        <v/>
      </c>
    </row>
    <row r="1120">
      <c r="A1120" s="21">
        <f>IF(Rechner!$E$4&lt;&gt;"ok","",IF(Rechner!$E$5+1118&lt;=Rechner!$B$6,Rechner!$E$5+1118,""))</f>
        <v/>
      </c>
      <c r="B1120">
        <f>IF(A1120="","",LOOKUP(A1120,Basiszins!$A$5:$A$18,Basiszins!$B$5:$B$18))</f>
        <v/>
      </c>
      <c r="C1120">
        <f>IF(A1120="","",B1120+Rechner!$E$7)</f>
        <v/>
      </c>
      <c r="D1120">
        <f>J1119</f>
        <v/>
      </c>
      <c r="E1120">
        <f>IF(A1120="",0,D1120*C1120/100/(DATE(YEAR(A1120)+1,1,1)-DATE(YEAR(A1120),1,1)))</f>
        <v/>
      </c>
      <c r="F1120">
        <f>IF(A1120="",0,SUMIF(Rechner!$A$12:$A$21,A1120,Rechner!$B$12:$B$21))</f>
        <v/>
      </c>
      <c r="G1120">
        <f>H1119+E1120</f>
        <v/>
      </c>
      <c r="H1120">
        <f>G1120-MIN(F1120,G1120)</f>
        <v/>
      </c>
      <c r="I1120">
        <f>MIN(F1120-MIN(F1120,G1120),D1120)</f>
        <v/>
      </c>
      <c r="J1120">
        <f>D1120-I1120</f>
        <v/>
      </c>
      <c r="K1120">
        <f>F1120-MIN(F1120,G1120)-I1120</f>
        <v/>
      </c>
    </row>
    <row r="1121">
      <c r="A1121" s="21">
        <f>IF(Rechner!$E$4&lt;&gt;"ok","",IF(Rechner!$E$5+1119&lt;=Rechner!$B$6,Rechner!$E$5+1119,""))</f>
        <v/>
      </c>
      <c r="B1121">
        <f>IF(A1121="","",LOOKUP(A1121,Basiszins!$A$5:$A$18,Basiszins!$B$5:$B$18))</f>
        <v/>
      </c>
      <c r="C1121">
        <f>IF(A1121="","",B1121+Rechner!$E$7)</f>
        <v/>
      </c>
      <c r="D1121">
        <f>J1120</f>
        <v/>
      </c>
      <c r="E1121">
        <f>IF(A1121="",0,D1121*C1121/100/(DATE(YEAR(A1121)+1,1,1)-DATE(YEAR(A1121),1,1)))</f>
        <v/>
      </c>
      <c r="F1121">
        <f>IF(A1121="",0,SUMIF(Rechner!$A$12:$A$21,A1121,Rechner!$B$12:$B$21))</f>
        <v/>
      </c>
      <c r="G1121">
        <f>H1120+E1121</f>
        <v/>
      </c>
      <c r="H1121">
        <f>G1121-MIN(F1121,G1121)</f>
        <v/>
      </c>
      <c r="I1121">
        <f>MIN(F1121-MIN(F1121,G1121),D1121)</f>
        <v/>
      </c>
      <c r="J1121">
        <f>D1121-I1121</f>
        <v/>
      </c>
      <c r="K1121">
        <f>F1121-MIN(F1121,G1121)-I1121</f>
        <v/>
      </c>
    </row>
    <row r="1122">
      <c r="A1122" s="21">
        <f>IF(Rechner!$E$4&lt;&gt;"ok","",IF(Rechner!$E$5+1120&lt;=Rechner!$B$6,Rechner!$E$5+1120,""))</f>
        <v/>
      </c>
      <c r="B1122">
        <f>IF(A1122="","",LOOKUP(A1122,Basiszins!$A$5:$A$18,Basiszins!$B$5:$B$18))</f>
        <v/>
      </c>
      <c r="C1122">
        <f>IF(A1122="","",B1122+Rechner!$E$7)</f>
        <v/>
      </c>
      <c r="D1122">
        <f>J1121</f>
        <v/>
      </c>
      <c r="E1122">
        <f>IF(A1122="",0,D1122*C1122/100/(DATE(YEAR(A1122)+1,1,1)-DATE(YEAR(A1122),1,1)))</f>
        <v/>
      </c>
      <c r="F1122">
        <f>IF(A1122="",0,SUMIF(Rechner!$A$12:$A$21,A1122,Rechner!$B$12:$B$21))</f>
        <v/>
      </c>
      <c r="G1122">
        <f>H1121+E1122</f>
        <v/>
      </c>
      <c r="H1122">
        <f>G1122-MIN(F1122,G1122)</f>
        <v/>
      </c>
      <c r="I1122">
        <f>MIN(F1122-MIN(F1122,G1122),D1122)</f>
        <v/>
      </c>
      <c r="J1122">
        <f>D1122-I1122</f>
        <v/>
      </c>
      <c r="K1122">
        <f>F1122-MIN(F1122,G1122)-I1122</f>
        <v/>
      </c>
    </row>
    <row r="1123">
      <c r="A1123" s="21">
        <f>IF(Rechner!$E$4&lt;&gt;"ok","",IF(Rechner!$E$5+1121&lt;=Rechner!$B$6,Rechner!$E$5+1121,""))</f>
        <v/>
      </c>
      <c r="B1123">
        <f>IF(A1123="","",LOOKUP(A1123,Basiszins!$A$5:$A$18,Basiszins!$B$5:$B$18))</f>
        <v/>
      </c>
      <c r="C1123">
        <f>IF(A1123="","",B1123+Rechner!$E$7)</f>
        <v/>
      </c>
      <c r="D1123">
        <f>J1122</f>
        <v/>
      </c>
      <c r="E1123">
        <f>IF(A1123="",0,D1123*C1123/100/(DATE(YEAR(A1123)+1,1,1)-DATE(YEAR(A1123),1,1)))</f>
        <v/>
      </c>
      <c r="F1123">
        <f>IF(A1123="",0,SUMIF(Rechner!$A$12:$A$21,A1123,Rechner!$B$12:$B$21))</f>
        <v/>
      </c>
      <c r="G1123">
        <f>H1122+E1123</f>
        <v/>
      </c>
      <c r="H1123">
        <f>G1123-MIN(F1123,G1123)</f>
        <v/>
      </c>
      <c r="I1123">
        <f>MIN(F1123-MIN(F1123,G1123),D1123)</f>
        <v/>
      </c>
      <c r="J1123">
        <f>D1123-I1123</f>
        <v/>
      </c>
      <c r="K1123">
        <f>F1123-MIN(F1123,G1123)-I1123</f>
        <v/>
      </c>
    </row>
    <row r="1124">
      <c r="A1124" s="21">
        <f>IF(Rechner!$E$4&lt;&gt;"ok","",IF(Rechner!$E$5+1122&lt;=Rechner!$B$6,Rechner!$E$5+1122,""))</f>
        <v/>
      </c>
      <c r="B1124">
        <f>IF(A1124="","",LOOKUP(A1124,Basiszins!$A$5:$A$18,Basiszins!$B$5:$B$18))</f>
        <v/>
      </c>
      <c r="C1124">
        <f>IF(A1124="","",B1124+Rechner!$E$7)</f>
        <v/>
      </c>
      <c r="D1124">
        <f>J1123</f>
        <v/>
      </c>
      <c r="E1124">
        <f>IF(A1124="",0,D1124*C1124/100/(DATE(YEAR(A1124)+1,1,1)-DATE(YEAR(A1124),1,1)))</f>
        <v/>
      </c>
      <c r="F1124">
        <f>IF(A1124="",0,SUMIF(Rechner!$A$12:$A$21,A1124,Rechner!$B$12:$B$21))</f>
        <v/>
      </c>
      <c r="G1124">
        <f>H1123+E1124</f>
        <v/>
      </c>
      <c r="H1124">
        <f>G1124-MIN(F1124,G1124)</f>
        <v/>
      </c>
      <c r="I1124">
        <f>MIN(F1124-MIN(F1124,G1124),D1124)</f>
        <v/>
      </c>
      <c r="J1124">
        <f>D1124-I1124</f>
        <v/>
      </c>
      <c r="K1124">
        <f>F1124-MIN(F1124,G1124)-I1124</f>
        <v/>
      </c>
    </row>
    <row r="1125">
      <c r="A1125" s="21">
        <f>IF(Rechner!$E$4&lt;&gt;"ok","",IF(Rechner!$E$5+1123&lt;=Rechner!$B$6,Rechner!$E$5+1123,""))</f>
        <v/>
      </c>
      <c r="B1125">
        <f>IF(A1125="","",LOOKUP(A1125,Basiszins!$A$5:$A$18,Basiszins!$B$5:$B$18))</f>
        <v/>
      </c>
      <c r="C1125">
        <f>IF(A1125="","",B1125+Rechner!$E$7)</f>
        <v/>
      </c>
      <c r="D1125">
        <f>J1124</f>
        <v/>
      </c>
      <c r="E1125">
        <f>IF(A1125="",0,D1125*C1125/100/(DATE(YEAR(A1125)+1,1,1)-DATE(YEAR(A1125),1,1)))</f>
        <v/>
      </c>
      <c r="F1125">
        <f>IF(A1125="",0,SUMIF(Rechner!$A$12:$A$21,A1125,Rechner!$B$12:$B$21))</f>
        <v/>
      </c>
      <c r="G1125">
        <f>H1124+E1125</f>
        <v/>
      </c>
      <c r="H1125">
        <f>G1125-MIN(F1125,G1125)</f>
        <v/>
      </c>
      <c r="I1125">
        <f>MIN(F1125-MIN(F1125,G1125),D1125)</f>
        <v/>
      </c>
      <c r="J1125">
        <f>D1125-I1125</f>
        <v/>
      </c>
      <c r="K1125">
        <f>F1125-MIN(F1125,G1125)-I1125</f>
        <v/>
      </c>
    </row>
    <row r="1126">
      <c r="A1126" s="21">
        <f>IF(Rechner!$E$4&lt;&gt;"ok","",IF(Rechner!$E$5+1124&lt;=Rechner!$B$6,Rechner!$E$5+1124,""))</f>
        <v/>
      </c>
      <c r="B1126">
        <f>IF(A1126="","",LOOKUP(A1126,Basiszins!$A$5:$A$18,Basiszins!$B$5:$B$18))</f>
        <v/>
      </c>
      <c r="C1126">
        <f>IF(A1126="","",B1126+Rechner!$E$7)</f>
        <v/>
      </c>
      <c r="D1126">
        <f>J1125</f>
        <v/>
      </c>
      <c r="E1126">
        <f>IF(A1126="",0,D1126*C1126/100/(DATE(YEAR(A1126)+1,1,1)-DATE(YEAR(A1126),1,1)))</f>
        <v/>
      </c>
      <c r="F1126">
        <f>IF(A1126="",0,SUMIF(Rechner!$A$12:$A$21,A1126,Rechner!$B$12:$B$21))</f>
        <v/>
      </c>
      <c r="G1126">
        <f>H1125+E1126</f>
        <v/>
      </c>
      <c r="H1126">
        <f>G1126-MIN(F1126,G1126)</f>
        <v/>
      </c>
      <c r="I1126">
        <f>MIN(F1126-MIN(F1126,G1126),D1126)</f>
        <v/>
      </c>
      <c r="J1126">
        <f>D1126-I1126</f>
        <v/>
      </c>
      <c r="K1126">
        <f>F1126-MIN(F1126,G1126)-I1126</f>
        <v/>
      </c>
    </row>
    <row r="1127">
      <c r="A1127" s="21">
        <f>IF(Rechner!$E$4&lt;&gt;"ok","",IF(Rechner!$E$5+1125&lt;=Rechner!$B$6,Rechner!$E$5+1125,""))</f>
        <v/>
      </c>
      <c r="B1127">
        <f>IF(A1127="","",LOOKUP(A1127,Basiszins!$A$5:$A$18,Basiszins!$B$5:$B$18))</f>
        <v/>
      </c>
      <c r="C1127">
        <f>IF(A1127="","",B1127+Rechner!$E$7)</f>
        <v/>
      </c>
      <c r="D1127">
        <f>J1126</f>
        <v/>
      </c>
      <c r="E1127">
        <f>IF(A1127="",0,D1127*C1127/100/(DATE(YEAR(A1127)+1,1,1)-DATE(YEAR(A1127),1,1)))</f>
        <v/>
      </c>
      <c r="F1127">
        <f>IF(A1127="",0,SUMIF(Rechner!$A$12:$A$21,A1127,Rechner!$B$12:$B$21))</f>
        <v/>
      </c>
      <c r="G1127">
        <f>H1126+E1127</f>
        <v/>
      </c>
      <c r="H1127">
        <f>G1127-MIN(F1127,G1127)</f>
        <v/>
      </c>
      <c r="I1127">
        <f>MIN(F1127-MIN(F1127,G1127),D1127)</f>
        <v/>
      </c>
      <c r="J1127">
        <f>D1127-I1127</f>
        <v/>
      </c>
      <c r="K1127">
        <f>F1127-MIN(F1127,G1127)-I1127</f>
        <v/>
      </c>
    </row>
    <row r="1128">
      <c r="A1128" s="21">
        <f>IF(Rechner!$E$4&lt;&gt;"ok","",IF(Rechner!$E$5+1126&lt;=Rechner!$B$6,Rechner!$E$5+1126,""))</f>
        <v/>
      </c>
      <c r="B1128">
        <f>IF(A1128="","",LOOKUP(A1128,Basiszins!$A$5:$A$18,Basiszins!$B$5:$B$18))</f>
        <v/>
      </c>
      <c r="C1128">
        <f>IF(A1128="","",B1128+Rechner!$E$7)</f>
        <v/>
      </c>
      <c r="D1128">
        <f>J1127</f>
        <v/>
      </c>
      <c r="E1128">
        <f>IF(A1128="",0,D1128*C1128/100/(DATE(YEAR(A1128)+1,1,1)-DATE(YEAR(A1128),1,1)))</f>
        <v/>
      </c>
      <c r="F1128">
        <f>IF(A1128="",0,SUMIF(Rechner!$A$12:$A$21,A1128,Rechner!$B$12:$B$21))</f>
        <v/>
      </c>
      <c r="G1128">
        <f>H1127+E1128</f>
        <v/>
      </c>
      <c r="H1128">
        <f>G1128-MIN(F1128,G1128)</f>
        <v/>
      </c>
      <c r="I1128">
        <f>MIN(F1128-MIN(F1128,G1128),D1128)</f>
        <v/>
      </c>
      <c r="J1128">
        <f>D1128-I1128</f>
        <v/>
      </c>
      <c r="K1128">
        <f>F1128-MIN(F1128,G1128)-I1128</f>
        <v/>
      </c>
    </row>
    <row r="1129">
      <c r="A1129" s="21">
        <f>IF(Rechner!$E$4&lt;&gt;"ok","",IF(Rechner!$E$5+1127&lt;=Rechner!$B$6,Rechner!$E$5+1127,""))</f>
        <v/>
      </c>
      <c r="B1129">
        <f>IF(A1129="","",LOOKUP(A1129,Basiszins!$A$5:$A$18,Basiszins!$B$5:$B$18))</f>
        <v/>
      </c>
      <c r="C1129">
        <f>IF(A1129="","",B1129+Rechner!$E$7)</f>
        <v/>
      </c>
      <c r="D1129">
        <f>J1128</f>
        <v/>
      </c>
      <c r="E1129">
        <f>IF(A1129="",0,D1129*C1129/100/(DATE(YEAR(A1129)+1,1,1)-DATE(YEAR(A1129),1,1)))</f>
        <v/>
      </c>
      <c r="F1129">
        <f>IF(A1129="",0,SUMIF(Rechner!$A$12:$A$21,A1129,Rechner!$B$12:$B$21))</f>
        <v/>
      </c>
      <c r="G1129">
        <f>H1128+E1129</f>
        <v/>
      </c>
      <c r="H1129">
        <f>G1129-MIN(F1129,G1129)</f>
        <v/>
      </c>
      <c r="I1129">
        <f>MIN(F1129-MIN(F1129,G1129),D1129)</f>
        <v/>
      </c>
      <c r="J1129">
        <f>D1129-I1129</f>
        <v/>
      </c>
      <c r="K1129">
        <f>F1129-MIN(F1129,G1129)-I1129</f>
        <v/>
      </c>
    </row>
    <row r="1130">
      <c r="A1130" s="21">
        <f>IF(Rechner!$E$4&lt;&gt;"ok","",IF(Rechner!$E$5+1128&lt;=Rechner!$B$6,Rechner!$E$5+1128,""))</f>
        <v/>
      </c>
      <c r="B1130">
        <f>IF(A1130="","",LOOKUP(A1130,Basiszins!$A$5:$A$18,Basiszins!$B$5:$B$18))</f>
        <v/>
      </c>
      <c r="C1130">
        <f>IF(A1130="","",B1130+Rechner!$E$7)</f>
        <v/>
      </c>
      <c r="D1130">
        <f>J1129</f>
        <v/>
      </c>
      <c r="E1130">
        <f>IF(A1130="",0,D1130*C1130/100/(DATE(YEAR(A1130)+1,1,1)-DATE(YEAR(A1130),1,1)))</f>
        <v/>
      </c>
      <c r="F1130">
        <f>IF(A1130="",0,SUMIF(Rechner!$A$12:$A$21,A1130,Rechner!$B$12:$B$21))</f>
        <v/>
      </c>
      <c r="G1130">
        <f>H1129+E1130</f>
        <v/>
      </c>
      <c r="H1130">
        <f>G1130-MIN(F1130,G1130)</f>
        <v/>
      </c>
      <c r="I1130">
        <f>MIN(F1130-MIN(F1130,G1130),D1130)</f>
        <v/>
      </c>
      <c r="J1130">
        <f>D1130-I1130</f>
        <v/>
      </c>
      <c r="K1130">
        <f>F1130-MIN(F1130,G1130)-I1130</f>
        <v/>
      </c>
    </row>
    <row r="1131">
      <c r="A1131" s="21">
        <f>IF(Rechner!$E$4&lt;&gt;"ok","",IF(Rechner!$E$5+1129&lt;=Rechner!$B$6,Rechner!$E$5+1129,""))</f>
        <v/>
      </c>
      <c r="B1131">
        <f>IF(A1131="","",LOOKUP(A1131,Basiszins!$A$5:$A$18,Basiszins!$B$5:$B$18))</f>
        <v/>
      </c>
      <c r="C1131">
        <f>IF(A1131="","",B1131+Rechner!$E$7)</f>
        <v/>
      </c>
      <c r="D1131">
        <f>J1130</f>
        <v/>
      </c>
      <c r="E1131">
        <f>IF(A1131="",0,D1131*C1131/100/(DATE(YEAR(A1131)+1,1,1)-DATE(YEAR(A1131),1,1)))</f>
        <v/>
      </c>
      <c r="F1131">
        <f>IF(A1131="",0,SUMIF(Rechner!$A$12:$A$21,A1131,Rechner!$B$12:$B$21))</f>
        <v/>
      </c>
      <c r="G1131">
        <f>H1130+E1131</f>
        <v/>
      </c>
      <c r="H1131">
        <f>G1131-MIN(F1131,G1131)</f>
        <v/>
      </c>
      <c r="I1131">
        <f>MIN(F1131-MIN(F1131,G1131),D1131)</f>
        <v/>
      </c>
      <c r="J1131">
        <f>D1131-I1131</f>
        <v/>
      </c>
      <c r="K1131">
        <f>F1131-MIN(F1131,G1131)-I1131</f>
        <v/>
      </c>
    </row>
    <row r="1132">
      <c r="A1132" s="21">
        <f>IF(Rechner!$E$4&lt;&gt;"ok","",IF(Rechner!$E$5+1130&lt;=Rechner!$B$6,Rechner!$E$5+1130,""))</f>
        <v/>
      </c>
      <c r="B1132">
        <f>IF(A1132="","",LOOKUP(A1132,Basiszins!$A$5:$A$18,Basiszins!$B$5:$B$18))</f>
        <v/>
      </c>
      <c r="C1132">
        <f>IF(A1132="","",B1132+Rechner!$E$7)</f>
        <v/>
      </c>
      <c r="D1132">
        <f>J1131</f>
        <v/>
      </c>
      <c r="E1132">
        <f>IF(A1132="",0,D1132*C1132/100/(DATE(YEAR(A1132)+1,1,1)-DATE(YEAR(A1132),1,1)))</f>
        <v/>
      </c>
      <c r="F1132">
        <f>IF(A1132="",0,SUMIF(Rechner!$A$12:$A$21,A1132,Rechner!$B$12:$B$21))</f>
        <v/>
      </c>
      <c r="G1132">
        <f>H1131+E1132</f>
        <v/>
      </c>
      <c r="H1132">
        <f>G1132-MIN(F1132,G1132)</f>
        <v/>
      </c>
      <c r="I1132">
        <f>MIN(F1132-MIN(F1132,G1132),D1132)</f>
        <v/>
      </c>
      <c r="J1132">
        <f>D1132-I1132</f>
        <v/>
      </c>
      <c r="K1132">
        <f>F1132-MIN(F1132,G1132)-I1132</f>
        <v/>
      </c>
    </row>
    <row r="1133">
      <c r="A1133" s="21">
        <f>IF(Rechner!$E$4&lt;&gt;"ok","",IF(Rechner!$E$5+1131&lt;=Rechner!$B$6,Rechner!$E$5+1131,""))</f>
        <v/>
      </c>
      <c r="B1133">
        <f>IF(A1133="","",LOOKUP(A1133,Basiszins!$A$5:$A$18,Basiszins!$B$5:$B$18))</f>
        <v/>
      </c>
      <c r="C1133">
        <f>IF(A1133="","",B1133+Rechner!$E$7)</f>
        <v/>
      </c>
      <c r="D1133">
        <f>J1132</f>
        <v/>
      </c>
      <c r="E1133">
        <f>IF(A1133="",0,D1133*C1133/100/(DATE(YEAR(A1133)+1,1,1)-DATE(YEAR(A1133),1,1)))</f>
        <v/>
      </c>
      <c r="F1133">
        <f>IF(A1133="",0,SUMIF(Rechner!$A$12:$A$21,A1133,Rechner!$B$12:$B$21))</f>
        <v/>
      </c>
      <c r="G1133">
        <f>H1132+E1133</f>
        <v/>
      </c>
      <c r="H1133">
        <f>G1133-MIN(F1133,G1133)</f>
        <v/>
      </c>
      <c r="I1133">
        <f>MIN(F1133-MIN(F1133,G1133),D1133)</f>
        <v/>
      </c>
      <c r="J1133">
        <f>D1133-I1133</f>
        <v/>
      </c>
      <c r="K1133">
        <f>F1133-MIN(F1133,G1133)-I1133</f>
        <v/>
      </c>
    </row>
    <row r="1134">
      <c r="A1134" s="21">
        <f>IF(Rechner!$E$4&lt;&gt;"ok","",IF(Rechner!$E$5+1132&lt;=Rechner!$B$6,Rechner!$E$5+1132,""))</f>
        <v/>
      </c>
      <c r="B1134">
        <f>IF(A1134="","",LOOKUP(A1134,Basiszins!$A$5:$A$18,Basiszins!$B$5:$B$18))</f>
        <v/>
      </c>
      <c r="C1134">
        <f>IF(A1134="","",B1134+Rechner!$E$7)</f>
        <v/>
      </c>
      <c r="D1134">
        <f>J1133</f>
        <v/>
      </c>
      <c r="E1134">
        <f>IF(A1134="",0,D1134*C1134/100/(DATE(YEAR(A1134)+1,1,1)-DATE(YEAR(A1134),1,1)))</f>
        <v/>
      </c>
      <c r="F1134">
        <f>IF(A1134="",0,SUMIF(Rechner!$A$12:$A$21,A1134,Rechner!$B$12:$B$21))</f>
        <v/>
      </c>
      <c r="G1134">
        <f>H1133+E1134</f>
        <v/>
      </c>
      <c r="H1134">
        <f>G1134-MIN(F1134,G1134)</f>
        <v/>
      </c>
      <c r="I1134">
        <f>MIN(F1134-MIN(F1134,G1134),D1134)</f>
        <v/>
      </c>
      <c r="J1134">
        <f>D1134-I1134</f>
        <v/>
      </c>
      <c r="K1134">
        <f>F1134-MIN(F1134,G1134)-I1134</f>
        <v/>
      </c>
    </row>
    <row r="1135">
      <c r="A1135" s="21">
        <f>IF(Rechner!$E$4&lt;&gt;"ok","",IF(Rechner!$E$5+1133&lt;=Rechner!$B$6,Rechner!$E$5+1133,""))</f>
        <v/>
      </c>
      <c r="B1135">
        <f>IF(A1135="","",LOOKUP(A1135,Basiszins!$A$5:$A$18,Basiszins!$B$5:$B$18))</f>
        <v/>
      </c>
      <c r="C1135">
        <f>IF(A1135="","",B1135+Rechner!$E$7)</f>
        <v/>
      </c>
      <c r="D1135">
        <f>J1134</f>
        <v/>
      </c>
      <c r="E1135">
        <f>IF(A1135="",0,D1135*C1135/100/(DATE(YEAR(A1135)+1,1,1)-DATE(YEAR(A1135),1,1)))</f>
        <v/>
      </c>
      <c r="F1135">
        <f>IF(A1135="",0,SUMIF(Rechner!$A$12:$A$21,A1135,Rechner!$B$12:$B$21))</f>
        <v/>
      </c>
      <c r="G1135">
        <f>H1134+E1135</f>
        <v/>
      </c>
      <c r="H1135">
        <f>G1135-MIN(F1135,G1135)</f>
        <v/>
      </c>
      <c r="I1135">
        <f>MIN(F1135-MIN(F1135,G1135),D1135)</f>
        <v/>
      </c>
      <c r="J1135">
        <f>D1135-I1135</f>
        <v/>
      </c>
      <c r="K1135">
        <f>F1135-MIN(F1135,G1135)-I1135</f>
        <v/>
      </c>
    </row>
    <row r="1136">
      <c r="A1136" s="21">
        <f>IF(Rechner!$E$4&lt;&gt;"ok","",IF(Rechner!$E$5+1134&lt;=Rechner!$B$6,Rechner!$E$5+1134,""))</f>
        <v/>
      </c>
      <c r="B1136">
        <f>IF(A1136="","",LOOKUP(A1136,Basiszins!$A$5:$A$18,Basiszins!$B$5:$B$18))</f>
        <v/>
      </c>
      <c r="C1136">
        <f>IF(A1136="","",B1136+Rechner!$E$7)</f>
        <v/>
      </c>
      <c r="D1136">
        <f>J1135</f>
        <v/>
      </c>
      <c r="E1136">
        <f>IF(A1136="",0,D1136*C1136/100/(DATE(YEAR(A1136)+1,1,1)-DATE(YEAR(A1136),1,1)))</f>
        <v/>
      </c>
      <c r="F1136">
        <f>IF(A1136="",0,SUMIF(Rechner!$A$12:$A$21,A1136,Rechner!$B$12:$B$21))</f>
        <v/>
      </c>
      <c r="G1136">
        <f>H1135+E1136</f>
        <v/>
      </c>
      <c r="H1136">
        <f>G1136-MIN(F1136,G1136)</f>
        <v/>
      </c>
      <c r="I1136">
        <f>MIN(F1136-MIN(F1136,G1136),D1136)</f>
        <v/>
      </c>
      <c r="J1136">
        <f>D1136-I1136</f>
        <v/>
      </c>
      <c r="K1136">
        <f>F1136-MIN(F1136,G1136)-I1136</f>
        <v/>
      </c>
    </row>
    <row r="1137">
      <c r="A1137" s="21">
        <f>IF(Rechner!$E$4&lt;&gt;"ok","",IF(Rechner!$E$5+1135&lt;=Rechner!$B$6,Rechner!$E$5+1135,""))</f>
        <v/>
      </c>
      <c r="B1137">
        <f>IF(A1137="","",LOOKUP(A1137,Basiszins!$A$5:$A$18,Basiszins!$B$5:$B$18))</f>
        <v/>
      </c>
      <c r="C1137">
        <f>IF(A1137="","",B1137+Rechner!$E$7)</f>
        <v/>
      </c>
      <c r="D1137">
        <f>J1136</f>
        <v/>
      </c>
      <c r="E1137">
        <f>IF(A1137="",0,D1137*C1137/100/(DATE(YEAR(A1137)+1,1,1)-DATE(YEAR(A1137),1,1)))</f>
        <v/>
      </c>
      <c r="F1137">
        <f>IF(A1137="",0,SUMIF(Rechner!$A$12:$A$21,A1137,Rechner!$B$12:$B$21))</f>
        <v/>
      </c>
      <c r="G1137">
        <f>H1136+E1137</f>
        <v/>
      </c>
      <c r="H1137">
        <f>G1137-MIN(F1137,G1137)</f>
        <v/>
      </c>
      <c r="I1137">
        <f>MIN(F1137-MIN(F1137,G1137),D1137)</f>
        <v/>
      </c>
      <c r="J1137">
        <f>D1137-I1137</f>
        <v/>
      </c>
      <c r="K1137">
        <f>F1137-MIN(F1137,G1137)-I1137</f>
        <v/>
      </c>
    </row>
    <row r="1138">
      <c r="A1138" s="21">
        <f>IF(Rechner!$E$4&lt;&gt;"ok","",IF(Rechner!$E$5+1136&lt;=Rechner!$B$6,Rechner!$E$5+1136,""))</f>
        <v/>
      </c>
      <c r="B1138">
        <f>IF(A1138="","",LOOKUP(A1138,Basiszins!$A$5:$A$18,Basiszins!$B$5:$B$18))</f>
        <v/>
      </c>
      <c r="C1138">
        <f>IF(A1138="","",B1138+Rechner!$E$7)</f>
        <v/>
      </c>
      <c r="D1138">
        <f>J1137</f>
        <v/>
      </c>
      <c r="E1138">
        <f>IF(A1138="",0,D1138*C1138/100/(DATE(YEAR(A1138)+1,1,1)-DATE(YEAR(A1138),1,1)))</f>
        <v/>
      </c>
      <c r="F1138">
        <f>IF(A1138="",0,SUMIF(Rechner!$A$12:$A$21,A1138,Rechner!$B$12:$B$21))</f>
        <v/>
      </c>
      <c r="G1138">
        <f>H1137+E1138</f>
        <v/>
      </c>
      <c r="H1138">
        <f>G1138-MIN(F1138,G1138)</f>
        <v/>
      </c>
      <c r="I1138">
        <f>MIN(F1138-MIN(F1138,G1138),D1138)</f>
        <v/>
      </c>
      <c r="J1138">
        <f>D1138-I1138</f>
        <v/>
      </c>
      <c r="K1138">
        <f>F1138-MIN(F1138,G1138)-I1138</f>
        <v/>
      </c>
    </row>
    <row r="1139">
      <c r="A1139" s="21">
        <f>IF(Rechner!$E$4&lt;&gt;"ok","",IF(Rechner!$E$5+1137&lt;=Rechner!$B$6,Rechner!$E$5+1137,""))</f>
        <v/>
      </c>
      <c r="B1139">
        <f>IF(A1139="","",LOOKUP(A1139,Basiszins!$A$5:$A$18,Basiszins!$B$5:$B$18))</f>
        <v/>
      </c>
      <c r="C1139">
        <f>IF(A1139="","",B1139+Rechner!$E$7)</f>
        <v/>
      </c>
      <c r="D1139">
        <f>J1138</f>
        <v/>
      </c>
      <c r="E1139">
        <f>IF(A1139="",0,D1139*C1139/100/(DATE(YEAR(A1139)+1,1,1)-DATE(YEAR(A1139),1,1)))</f>
        <v/>
      </c>
      <c r="F1139">
        <f>IF(A1139="",0,SUMIF(Rechner!$A$12:$A$21,A1139,Rechner!$B$12:$B$21))</f>
        <v/>
      </c>
      <c r="G1139">
        <f>H1138+E1139</f>
        <v/>
      </c>
      <c r="H1139">
        <f>G1139-MIN(F1139,G1139)</f>
        <v/>
      </c>
      <c r="I1139">
        <f>MIN(F1139-MIN(F1139,G1139),D1139)</f>
        <v/>
      </c>
      <c r="J1139">
        <f>D1139-I1139</f>
        <v/>
      </c>
      <c r="K1139">
        <f>F1139-MIN(F1139,G1139)-I1139</f>
        <v/>
      </c>
    </row>
    <row r="1140">
      <c r="A1140" s="21">
        <f>IF(Rechner!$E$4&lt;&gt;"ok","",IF(Rechner!$E$5+1138&lt;=Rechner!$B$6,Rechner!$E$5+1138,""))</f>
        <v/>
      </c>
      <c r="B1140">
        <f>IF(A1140="","",LOOKUP(A1140,Basiszins!$A$5:$A$18,Basiszins!$B$5:$B$18))</f>
        <v/>
      </c>
      <c r="C1140">
        <f>IF(A1140="","",B1140+Rechner!$E$7)</f>
        <v/>
      </c>
      <c r="D1140">
        <f>J1139</f>
        <v/>
      </c>
      <c r="E1140">
        <f>IF(A1140="",0,D1140*C1140/100/(DATE(YEAR(A1140)+1,1,1)-DATE(YEAR(A1140),1,1)))</f>
        <v/>
      </c>
      <c r="F1140">
        <f>IF(A1140="",0,SUMIF(Rechner!$A$12:$A$21,A1140,Rechner!$B$12:$B$21))</f>
        <v/>
      </c>
      <c r="G1140">
        <f>H1139+E1140</f>
        <v/>
      </c>
      <c r="H1140">
        <f>G1140-MIN(F1140,G1140)</f>
        <v/>
      </c>
      <c r="I1140">
        <f>MIN(F1140-MIN(F1140,G1140),D1140)</f>
        <v/>
      </c>
      <c r="J1140">
        <f>D1140-I1140</f>
        <v/>
      </c>
      <c r="K1140">
        <f>F1140-MIN(F1140,G1140)-I1140</f>
        <v/>
      </c>
    </row>
    <row r="1141">
      <c r="A1141" s="21">
        <f>IF(Rechner!$E$4&lt;&gt;"ok","",IF(Rechner!$E$5+1139&lt;=Rechner!$B$6,Rechner!$E$5+1139,""))</f>
        <v/>
      </c>
      <c r="B1141">
        <f>IF(A1141="","",LOOKUP(A1141,Basiszins!$A$5:$A$18,Basiszins!$B$5:$B$18))</f>
        <v/>
      </c>
      <c r="C1141">
        <f>IF(A1141="","",B1141+Rechner!$E$7)</f>
        <v/>
      </c>
      <c r="D1141">
        <f>J1140</f>
        <v/>
      </c>
      <c r="E1141">
        <f>IF(A1141="",0,D1141*C1141/100/(DATE(YEAR(A1141)+1,1,1)-DATE(YEAR(A1141),1,1)))</f>
        <v/>
      </c>
      <c r="F1141">
        <f>IF(A1141="",0,SUMIF(Rechner!$A$12:$A$21,A1141,Rechner!$B$12:$B$21))</f>
        <v/>
      </c>
      <c r="G1141">
        <f>H1140+E1141</f>
        <v/>
      </c>
      <c r="H1141">
        <f>G1141-MIN(F1141,G1141)</f>
        <v/>
      </c>
      <c r="I1141">
        <f>MIN(F1141-MIN(F1141,G1141),D1141)</f>
        <v/>
      </c>
      <c r="J1141">
        <f>D1141-I1141</f>
        <v/>
      </c>
      <c r="K1141">
        <f>F1141-MIN(F1141,G1141)-I1141</f>
        <v/>
      </c>
    </row>
    <row r="1142">
      <c r="A1142" s="21">
        <f>IF(Rechner!$E$4&lt;&gt;"ok","",IF(Rechner!$E$5+1140&lt;=Rechner!$B$6,Rechner!$E$5+1140,""))</f>
        <v/>
      </c>
      <c r="B1142">
        <f>IF(A1142="","",LOOKUP(A1142,Basiszins!$A$5:$A$18,Basiszins!$B$5:$B$18))</f>
        <v/>
      </c>
      <c r="C1142">
        <f>IF(A1142="","",B1142+Rechner!$E$7)</f>
        <v/>
      </c>
      <c r="D1142">
        <f>J1141</f>
        <v/>
      </c>
      <c r="E1142">
        <f>IF(A1142="",0,D1142*C1142/100/(DATE(YEAR(A1142)+1,1,1)-DATE(YEAR(A1142),1,1)))</f>
        <v/>
      </c>
      <c r="F1142">
        <f>IF(A1142="",0,SUMIF(Rechner!$A$12:$A$21,A1142,Rechner!$B$12:$B$21))</f>
        <v/>
      </c>
      <c r="G1142">
        <f>H1141+E1142</f>
        <v/>
      </c>
      <c r="H1142">
        <f>G1142-MIN(F1142,G1142)</f>
        <v/>
      </c>
      <c r="I1142">
        <f>MIN(F1142-MIN(F1142,G1142),D1142)</f>
        <v/>
      </c>
      <c r="J1142">
        <f>D1142-I1142</f>
        <v/>
      </c>
      <c r="K1142">
        <f>F1142-MIN(F1142,G1142)-I1142</f>
        <v/>
      </c>
    </row>
    <row r="1143">
      <c r="A1143" s="21">
        <f>IF(Rechner!$E$4&lt;&gt;"ok","",IF(Rechner!$E$5+1141&lt;=Rechner!$B$6,Rechner!$E$5+1141,""))</f>
        <v/>
      </c>
      <c r="B1143">
        <f>IF(A1143="","",LOOKUP(A1143,Basiszins!$A$5:$A$18,Basiszins!$B$5:$B$18))</f>
        <v/>
      </c>
      <c r="C1143">
        <f>IF(A1143="","",B1143+Rechner!$E$7)</f>
        <v/>
      </c>
      <c r="D1143">
        <f>J1142</f>
        <v/>
      </c>
      <c r="E1143">
        <f>IF(A1143="",0,D1143*C1143/100/(DATE(YEAR(A1143)+1,1,1)-DATE(YEAR(A1143),1,1)))</f>
        <v/>
      </c>
      <c r="F1143">
        <f>IF(A1143="",0,SUMIF(Rechner!$A$12:$A$21,A1143,Rechner!$B$12:$B$21))</f>
        <v/>
      </c>
      <c r="G1143">
        <f>H1142+E1143</f>
        <v/>
      </c>
      <c r="H1143">
        <f>G1143-MIN(F1143,G1143)</f>
        <v/>
      </c>
      <c r="I1143">
        <f>MIN(F1143-MIN(F1143,G1143),D1143)</f>
        <v/>
      </c>
      <c r="J1143">
        <f>D1143-I1143</f>
        <v/>
      </c>
      <c r="K1143">
        <f>F1143-MIN(F1143,G1143)-I1143</f>
        <v/>
      </c>
    </row>
    <row r="1144">
      <c r="A1144" s="21">
        <f>IF(Rechner!$E$4&lt;&gt;"ok","",IF(Rechner!$E$5+1142&lt;=Rechner!$B$6,Rechner!$E$5+1142,""))</f>
        <v/>
      </c>
      <c r="B1144">
        <f>IF(A1144="","",LOOKUP(A1144,Basiszins!$A$5:$A$18,Basiszins!$B$5:$B$18))</f>
        <v/>
      </c>
      <c r="C1144">
        <f>IF(A1144="","",B1144+Rechner!$E$7)</f>
        <v/>
      </c>
      <c r="D1144">
        <f>J1143</f>
        <v/>
      </c>
      <c r="E1144">
        <f>IF(A1144="",0,D1144*C1144/100/(DATE(YEAR(A1144)+1,1,1)-DATE(YEAR(A1144),1,1)))</f>
        <v/>
      </c>
      <c r="F1144">
        <f>IF(A1144="",0,SUMIF(Rechner!$A$12:$A$21,A1144,Rechner!$B$12:$B$21))</f>
        <v/>
      </c>
      <c r="G1144">
        <f>H1143+E1144</f>
        <v/>
      </c>
      <c r="H1144">
        <f>G1144-MIN(F1144,G1144)</f>
        <v/>
      </c>
      <c r="I1144">
        <f>MIN(F1144-MIN(F1144,G1144),D1144)</f>
        <v/>
      </c>
      <c r="J1144">
        <f>D1144-I1144</f>
        <v/>
      </c>
      <c r="K1144">
        <f>F1144-MIN(F1144,G1144)-I1144</f>
        <v/>
      </c>
    </row>
    <row r="1145">
      <c r="A1145" s="21">
        <f>IF(Rechner!$E$4&lt;&gt;"ok","",IF(Rechner!$E$5+1143&lt;=Rechner!$B$6,Rechner!$E$5+1143,""))</f>
        <v/>
      </c>
      <c r="B1145">
        <f>IF(A1145="","",LOOKUP(A1145,Basiszins!$A$5:$A$18,Basiszins!$B$5:$B$18))</f>
        <v/>
      </c>
      <c r="C1145">
        <f>IF(A1145="","",B1145+Rechner!$E$7)</f>
        <v/>
      </c>
      <c r="D1145">
        <f>J1144</f>
        <v/>
      </c>
      <c r="E1145">
        <f>IF(A1145="",0,D1145*C1145/100/(DATE(YEAR(A1145)+1,1,1)-DATE(YEAR(A1145),1,1)))</f>
        <v/>
      </c>
      <c r="F1145">
        <f>IF(A1145="",0,SUMIF(Rechner!$A$12:$A$21,A1145,Rechner!$B$12:$B$21))</f>
        <v/>
      </c>
      <c r="G1145">
        <f>H1144+E1145</f>
        <v/>
      </c>
      <c r="H1145">
        <f>G1145-MIN(F1145,G1145)</f>
        <v/>
      </c>
      <c r="I1145">
        <f>MIN(F1145-MIN(F1145,G1145),D1145)</f>
        <v/>
      </c>
      <c r="J1145">
        <f>D1145-I1145</f>
        <v/>
      </c>
      <c r="K1145">
        <f>F1145-MIN(F1145,G1145)-I1145</f>
        <v/>
      </c>
    </row>
    <row r="1146">
      <c r="A1146" s="21">
        <f>IF(Rechner!$E$4&lt;&gt;"ok","",IF(Rechner!$E$5+1144&lt;=Rechner!$B$6,Rechner!$E$5+1144,""))</f>
        <v/>
      </c>
      <c r="B1146">
        <f>IF(A1146="","",LOOKUP(A1146,Basiszins!$A$5:$A$18,Basiszins!$B$5:$B$18))</f>
        <v/>
      </c>
      <c r="C1146">
        <f>IF(A1146="","",B1146+Rechner!$E$7)</f>
        <v/>
      </c>
      <c r="D1146">
        <f>J1145</f>
        <v/>
      </c>
      <c r="E1146">
        <f>IF(A1146="",0,D1146*C1146/100/(DATE(YEAR(A1146)+1,1,1)-DATE(YEAR(A1146),1,1)))</f>
        <v/>
      </c>
      <c r="F1146">
        <f>IF(A1146="",0,SUMIF(Rechner!$A$12:$A$21,A1146,Rechner!$B$12:$B$21))</f>
        <v/>
      </c>
      <c r="G1146">
        <f>H1145+E1146</f>
        <v/>
      </c>
      <c r="H1146">
        <f>G1146-MIN(F1146,G1146)</f>
        <v/>
      </c>
      <c r="I1146">
        <f>MIN(F1146-MIN(F1146,G1146),D1146)</f>
        <v/>
      </c>
      <c r="J1146">
        <f>D1146-I1146</f>
        <v/>
      </c>
      <c r="K1146">
        <f>F1146-MIN(F1146,G1146)-I1146</f>
        <v/>
      </c>
    </row>
    <row r="1147">
      <c r="A1147" s="21">
        <f>IF(Rechner!$E$4&lt;&gt;"ok","",IF(Rechner!$E$5+1145&lt;=Rechner!$B$6,Rechner!$E$5+1145,""))</f>
        <v/>
      </c>
      <c r="B1147">
        <f>IF(A1147="","",LOOKUP(A1147,Basiszins!$A$5:$A$18,Basiszins!$B$5:$B$18))</f>
        <v/>
      </c>
      <c r="C1147">
        <f>IF(A1147="","",B1147+Rechner!$E$7)</f>
        <v/>
      </c>
      <c r="D1147">
        <f>J1146</f>
        <v/>
      </c>
      <c r="E1147">
        <f>IF(A1147="",0,D1147*C1147/100/(DATE(YEAR(A1147)+1,1,1)-DATE(YEAR(A1147),1,1)))</f>
        <v/>
      </c>
      <c r="F1147">
        <f>IF(A1147="",0,SUMIF(Rechner!$A$12:$A$21,A1147,Rechner!$B$12:$B$21))</f>
        <v/>
      </c>
      <c r="G1147">
        <f>H1146+E1147</f>
        <v/>
      </c>
      <c r="H1147">
        <f>G1147-MIN(F1147,G1147)</f>
        <v/>
      </c>
      <c r="I1147">
        <f>MIN(F1147-MIN(F1147,G1147),D1147)</f>
        <v/>
      </c>
      <c r="J1147">
        <f>D1147-I1147</f>
        <v/>
      </c>
      <c r="K1147">
        <f>F1147-MIN(F1147,G1147)-I1147</f>
        <v/>
      </c>
    </row>
    <row r="1148">
      <c r="A1148" s="21">
        <f>IF(Rechner!$E$4&lt;&gt;"ok","",IF(Rechner!$E$5+1146&lt;=Rechner!$B$6,Rechner!$E$5+1146,""))</f>
        <v/>
      </c>
      <c r="B1148">
        <f>IF(A1148="","",LOOKUP(A1148,Basiszins!$A$5:$A$18,Basiszins!$B$5:$B$18))</f>
        <v/>
      </c>
      <c r="C1148">
        <f>IF(A1148="","",B1148+Rechner!$E$7)</f>
        <v/>
      </c>
      <c r="D1148">
        <f>J1147</f>
        <v/>
      </c>
      <c r="E1148">
        <f>IF(A1148="",0,D1148*C1148/100/(DATE(YEAR(A1148)+1,1,1)-DATE(YEAR(A1148),1,1)))</f>
        <v/>
      </c>
      <c r="F1148">
        <f>IF(A1148="",0,SUMIF(Rechner!$A$12:$A$21,A1148,Rechner!$B$12:$B$21))</f>
        <v/>
      </c>
      <c r="G1148">
        <f>H1147+E1148</f>
        <v/>
      </c>
      <c r="H1148">
        <f>G1148-MIN(F1148,G1148)</f>
        <v/>
      </c>
      <c r="I1148">
        <f>MIN(F1148-MIN(F1148,G1148),D1148)</f>
        <v/>
      </c>
      <c r="J1148">
        <f>D1148-I1148</f>
        <v/>
      </c>
      <c r="K1148">
        <f>F1148-MIN(F1148,G1148)-I1148</f>
        <v/>
      </c>
    </row>
    <row r="1149">
      <c r="A1149" s="21">
        <f>IF(Rechner!$E$4&lt;&gt;"ok","",IF(Rechner!$E$5+1147&lt;=Rechner!$B$6,Rechner!$E$5+1147,""))</f>
        <v/>
      </c>
      <c r="B1149">
        <f>IF(A1149="","",LOOKUP(A1149,Basiszins!$A$5:$A$18,Basiszins!$B$5:$B$18))</f>
        <v/>
      </c>
      <c r="C1149">
        <f>IF(A1149="","",B1149+Rechner!$E$7)</f>
        <v/>
      </c>
      <c r="D1149">
        <f>J1148</f>
        <v/>
      </c>
      <c r="E1149">
        <f>IF(A1149="",0,D1149*C1149/100/(DATE(YEAR(A1149)+1,1,1)-DATE(YEAR(A1149),1,1)))</f>
        <v/>
      </c>
      <c r="F1149">
        <f>IF(A1149="",0,SUMIF(Rechner!$A$12:$A$21,A1149,Rechner!$B$12:$B$21))</f>
        <v/>
      </c>
      <c r="G1149">
        <f>H1148+E1149</f>
        <v/>
      </c>
      <c r="H1149">
        <f>G1149-MIN(F1149,G1149)</f>
        <v/>
      </c>
      <c r="I1149">
        <f>MIN(F1149-MIN(F1149,G1149),D1149)</f>
        <v/>
      </c>
      <c r="J1149">
        <f>D1149-I1149</f>
        <v/>
      </c>
      <c r="K1149">
        <f>F1149-MIN(F1149,G1149)-I1149</f>
        <v/>
      </c>
    </row>
    <row r="1150">
      <c r="A1150" s="21">
        <f>IF(Rechner!$E$4&lt;&gt;"ok","",IF(Rechner!$E$5+1148&lt;=Rechner!$B$6,Rechner!$E$5+1148,""))</f>
        <v/>
      </c>
      <c r="B1150">
        <f>IF(A1150="","",LOOKUP(A1150,Basiszins!$A$5:$A$18,Basiszins!$B$5:$B$18))</f>
        <v/>
      </c>
      <c r="C1150">
        <f>IF(A1150="","",B1150+Rechner!$E$7)</f>
        <v/>
      </c>
      <c r="D1150">
        <f>J1149</f>
        <v/>
      </c>
      <c r="E1150">
        <f>IF(A1150="",0,D1150*C1150/100/(DATE(YEAR(A1150)+1,1,1)-DATE(YEAR(A1150),1,1)))</f>
        <v/>
      </c>
      <c r="F1150">
        <f>IF(A1150="",0,SUMIF(Rechner!$A$12:$A$21,A1150,Rechner!$B$12:$B$21))</f>
        <v/>
      </c>
      <c r="G1150">
        <f>H1149+E1150</f>
        <v/>
      </c>
      <c r="H1150">
        <f>G1150-MIN(F1150,G1150)</f>
        <v/>
      </c>
      <c r="I1150">
        <f>MIN(F1150-MIN(F1150,G1150),D1150)</f>
        <v/>
      </c>
      <c r="J1150">
        <f>D1150-I1150</f>
        <v/>
      </c>
      <c r="K1150">
        <f>F1150-MIN(F1150,G1150)-I1150</f>
        <v/>
      </c>
    </row>
    <row r="1151">
      <c r="A1151" s="21">
        <f>IF(Rechner!$E$4&lt;&gt;"ok","",IF(Rechner!$E$5+1149&lt;=Rechner!$B$6,Rechner!$E$5+1149,""))</f>
        <v/>
      </c>
      <c r="B1151">
        <f>IF(A1151="","",LOOKUP(A1151,Basiszins!$A$5:$A$18,Basiszins!$B$5:$B$18))</f>
        <v/>
      </c>
      <c r="C1151">
        <f>IF(A1151="","",B1151+Rechner!$E$7)</f>
        <v/>
      </c>
      <c r="D1151">
        <f>J1150</f>
        <v/>
      </c>
      <c r="E1151">
        <f>IF(A1151="",0,D1151*C1151/100/(DATE(YEAR(A1151)+1,1,1)-DATE(YEAR(A1151),1,1)))</f>
        <v/>
      </c>
      <c r="F1151">
        <f>IF(A1151="",0,SUMIF(Rechner!$A$12:$A$21,A1151,Rechner!$B$12:$B$21))</f>
        <v/>
      </c>
      <c r="G1151">
        <f>H1150+E1151</f>
        <v/>
      </c>
      <c r="H1151">
        <f>G1151-MIN(F1151,G1151)</f>
        <v/>
      </c>
      <c r="I1151">
        <f>MIN(F1151-MIN(F1151,G1151),D1151)</f>
        <v/>
      </c>
      <c r="J1151">
        <f>D1151-I1151</f>
        <v/>
      </c>
      <c r="K1151">
        <f>F1151-MIN(F1151,G1151)-I1151</f>
        <v/>
      </c>
    </row>
    <row r="1152">
      <c r="A1152" s="21">
        <f>IF(Rechner!$E$4&lt;&gt;"ok","",IF(Rechner!$E$5+1150&lt;=Rechner!$B$6,Rechner!$E$5+1150,""))</f>
        <v/>
      </c>
      <c r="B1152">
        <f>IF(A1152="","",LOOKUP(A1152,Basiszins!$A$5:$A$18,Basiszins!$B$5:$B$18))</f>
        <v/>
      </c>
      <c r="C1152">
        <f>IF(A1152="","",B1152+Rechner!$E$7)</f>
        <v/>
      </c>
      <c r="D1152">
        <f>J1151</f>
        <v/>
      </c>
      <c r="E1152">
        <f>IF(A1152="",0,D1152*C1152/100/(DATE(YEAR(A1152)+1,1,1)-DATE(YEAR(A1152),1,1)))</f>
        <v/>
      </c>
      <c r="F1152">
        <f>IF(A1152="",0,SUMIF(Rechner!$A$12:$A$21,A1152,Rechner!$B$12:$B$21))</f>
        <v/>
      </c>
      <c r="G1152">
        <f>H1151+E1152</f>
        <v/>
      </c>
      <c r="H1152">
        <f>G1152-MIN(F1152,G1152)</f>
        <v/>
      </c>
      <c r="I1152">
        <f>MIN(F1152-MIN(F1152,G1152),D1152)</f>
        <v/>
      </c>
      <c r="J1152">
        <f>D1152-I1152</f>
        <v/>
      </c>
      <c r="K1152">
        <f>F1152-MIN(F1152,G1152)-I1152</f>
        <v/>
      </c>
    </row>
    <row r="1153">
      <c r="A1153" s="21">
        <f>IF(Rechner!$E$4&lt;&gt;"ok","",IF(Rechner!$E$5+1151&lt;=Rechner!$B$6,Rechner!$E$5+1151,""))</f>
        <v/>
      </c>
      <c r="B1153">
        <f>IF(A1153="","",LOOKUP(A1153,Basiszins!$A$5:$A$18,Basiszins!$B$5:$B$18))</f>
        <v/>
      </c>
      <c r="C1153">
        <f>IF(A1153="","",B1153+Rechner!$E$7)</f>
        <v/>
      </c>
      <c r="D1153">
        <f>J1152</f>
        <v/>
      </c>
      <c r="E1153">
        <f>IF(A1153="",0,D1153*C1153/100/(DATE(YEAR(A1153)+1,1,1)-DATE(YEAR(A1153),1,1)))</f>
        <v/>
      </c>
      <c r="F1153">
        <f>IF(A1153="",0,SUMIF(Rechner!$A$12:$A$21,A1153,Rechner!$B$12:$B$21))</f>
        <v/>
      </c>
      <c r="G1153">
        <f>H1152+E1153</f>
        <v/>
      </c>
      <c r="H1153">
        <f>G1153-MIN(F1153,G1153)</f>
        <v/>
      </c>
      <c r="I1153">
        <f>MIN(F1153-MIN(F1153,G1153),D1153)</f>
        <v/>
      </c>
      <c r="J1153">
        <f>D1153-I1153</f>
        <v/>
      </c>
      <c r="K1153">
        <f>F1153-MIN(F1153,G1153)-I1153</f>
        <v/>
      </c>
    </row>
    <row r="1154">
      <c r="A1154" s="21">
        <f>IF(Rechner!$E$4&lt;&gt;"ok","",IF(Rechner!$E$5+1152&lt;=Rechner!$B$6,Rechner!$E$5+1152,""))</f>
        <v/>
      </c>
      <c r="B1154">
        <f>IF(A1154="","",LOOKUP(A1154,Basiszins!$A$5:$A$18,Basiszins!$B$5:$B$18))</f>
        <v/>
      </c>
      <c r="C1154">
        <f>IF(A1154="","",B1154+Rechner!$E$7)</f>
        <v/>
      </c>
      <c r="D1154">
        <f>J1153</f>
        <v/>
      </c>
      <c r="E1154">
        <f>IF(A1154="",0,D1154*C1154/100/(DATE(YEAR(A1154)+1,1,1)-DATE(YEAR(A1154),1,1)))</f>
        <v/>
      </c>
      <c r="F1154">
        <f>IF(A1154="",0,SUMIF(Rechner!$A$12:$A$21,A1154,Rechner!$B$12:$B$21))</f>
        <v/>
      </c>
      <c r="G1154">
        <f>H1153+E1154</f>
        <v/>
      </c>
      <c r="H1154">
        <f>G1154-MIN(F1154,G1154)</f>
        <v/>
      </c>
      <c r="I1154">
        <f>MIN(F1154-MIN(F1154,G1154),D1154)</f>
        <v/>
      </c>
      <c r="J1154">
        <f>D1154-I1154</f>
        <v/>
      </c>
      <c r="K1154">
        <f>F1154-MIN(F1154,G1154)-I1154</f>
        <v/>
      </c>
    </row>
    <row r="1155">
      <c r="A1155" s="21">
        <f>IF(Rechner!$E$4&lt;&gt;"ok","",IF(Rechner!$E$5+1153&lt;=Rechner!$B$6,Rechner!$E$5+1153,""))</f>
        <v/>
      </c>
      <c r="B1155">
        <f>IF(A1155="","",LOOKUP(A1155,Basiszins!$A$5:$A$18,Basiszins!$B$5:$B$18))</f>
        <v/>
      </c>
      <c r="C1155">
        <f>IF(A1155="","",B1155+Rechner!$E$7)</f>
        <v/>
      </c>
      <c r="D1155">
        <f>J1154</f>
        <v/>
      </c>
      <c r="E1155">
        <f>IF(A1155="",0,D1155*C1155/100/(DATE(YEAR(A1155)+1,1,1)-DATE(YEAR(A1155),1,1)))</f>
        <v/>
      </c>
      <c r="F1155">
        <f>IF(A1155="",0,SUMIF(Rechner!$A$12:$A$21,A1155,Rechner!$B$12:$B$21))</f>
        <v/>
      </c>
      <c r="G1155">
        <f>H1154+E1155</f>
        <v/>
      </c>
      <c r="H1155">
        <f>G1155-MIN(F1155,G1155)</f>
        <v/>
      </c>
      <c r="I1155">
        <f>MIN(F1155-MIN(F1155,G1155),D1155)</f>
        <v/>
      </c>
      <c r="J1155">
        <f>D1155-I1155</f>
        <v/>
      </c>
      <c r="K1155">
        <f>F1155-MIN(F1155,G1155)-I1155</f>
        <v/>
      </c>
    </row>
    <row r="1156">
      <c r="A1156" s="21">
        <f>IF(Rechner!$E$4&lt;&gt;"ok","",IF(Rechner!$E$5+1154&lt;=Rechner!$B$6,Rechner!$E$5+1154,""))</f>
        <v/>
      </c>
      <c r="B1156">
        <f>IF(A1156="","",LOOKUP(A1156,Basiszins!$A$5:$A$18,Basiszins!$B$5:$B$18))</f>
        <v/>
      </c>
      <c r="C1156">
        <f>IF(A1156="","",B1156+Rechner!$E$7)</f>
        <v/>
      </c>
      <c r="D1156">
        <f>J1155</f>
        <v/>
      </c>
      <c r="E1156">
        <f>IF(A1156="",0,D1156*C1156/100/(DATE(YEAR(A1156)+1,1,1)-DATE(YEAR(A1156),1,1)))</f>
        <v/>
      </c>
      <c r="F1156">
        <f>IF(A1156="",0,SUMIF(Rechner!$A$12:$A$21,A1156,Rechner!$B$12:$B$21))</f>
        <v/>
      </c>
      <c r="G1156">
        <f>H1155+E1156</f>
        <v/>
      </c>
      <c r="H1156">
        <f>G1156-MIN(F1156,G1156)</f>
        <v/>
      </c>
      <c r="I1156">
        <f>MIN(F1156-MIN(F1156,G1156),D1156)</f>
        <v/>
      </c>
      <c r="J1156">
        <f>D1156-I1156</f>
        <v/>
      </c>
      <c r="K1156">
        <f>F1156-MIN(F1156,G1156)-I1156</f>
        <v/>
      </c>
    </row>
    <row r="1157">
      <c r="A1157" s="21">
        <f>IF(Rechner!$E$4&lt;&gt;"ok","",IF(Rechner!$E$5+1155&lt;=Rechner!$B$6,Rechner!$E$5+1155,""))</f>
        <v/>
      </c>
      <c r="B1157">
        <f>IF(A1157="","",LOOKUP(A1157,Basiszins!$A$5:$A$18,Basiszins!$B$5:$B$18))</f>
        <v/>
      </c>
      <c r="C1157">
        <f>IF(A1157="","",B1157+Rechner!$E$7)</f>
        <v/>
      </c>
      <c r="D1157">
        <f>J1156</f>
        <v/>
      </c>
      <c r="E1157">
        <f>IF(A1157="",0,D1157*C1157/100/(DATE(YEAR(A1157)+1,1,1)-DATE(YEAR(A1157),1,1)))</f>
        <v/>
      </c>
      <c r="F1157">
        <f>IF(A1157="",0,SUMIF(Rechner!$A$12:$A$21,A1157,Rechner!$B$12:$B$21))</f>
        <v/>
      </c>
      <c r="G1157">
        <f>H1156+E1157</f>
        <v/>
      </c>
      <c r="H1157">
        <f>G1157-MIN(F1157,G1157)</f>
        <v/>
      </c>
      <c r="I1157">
        <f>MIN(F1157-MIN(F1157,G1157),D1157)</f>
        <v/>
      </c>
      <c r="J1157">
        <f>D1157-I1157</f>
        <v/>
      </c>
      <c r="K1157">
        <f>F1157-MIN(F1157,G1157)-I1157</f>
        <v/>
      </c>
    </row>
    <row r="1158">
      <c r="A1158" s="21">
        <f>IF(Rechner!$E$4&lt;&gt;"ok","",IF(Rechner!$E$5+1156&lt;=Rechner!$B$6,Rechner!$E$5+1156,""))</f>
        <v/>
      </c>
      <c r="B1158">
        <f>IF(A1158="","",LOOKUP(A1158,Basiszins!$A$5:$A$18,Basiszins!$B$5:$B$18))</f>
        <v/>
      </c>
      <c r="C1158">
        <f>IF(A1158="","",B1158+Rechner!$E$7)</f>
        <v/>
      </c>
      <c r="D1158">
        <f>J1157</f>
        <v/>
      </c>
      <c r="E1158">
        <f>IF(A1158="",0,D1158*C1158/100/(DATE(YEAR(A1158)+1,1,1)-DATE(YEAR(A1158),1,1)))</f>
        <v/>
      </c>
      <c r="F1158">
        <f>IF(A1158="",0,SUMIF(Rechner!$A$12:$A$21,A1158,Rechner!$B$12:$B$21))</f>
        <v/>
      </c>
      <c r="G1158">
        <f>H1157+E1158</f>
        <v/>
      </c>
      <c r="H1158">
        <f>G1158-MIN(F1158,G1158)</f>
        <v/>
      </c>
      <c r="I1158">
        <f>MIN(F1158-MIN(F1158,G1158),D1158)</f>
        <v/>
      </c>
      <c r="J1158">
        <f>D1158-I1158</f>
        <v/>
      </c>
      <c r="K1158">
        <f>F1158-MIN(F1158,G1158)-I1158</f>
        <v/>
      </c>
    </row>
    <row r="1159">
      <c r="A1159" s="21">
        <f>IF(Rechner!$E$4&lt;&gt;"ok","",IF(Rechner!$E$5+1157&lt;=Rechner!$B$6,Rechner!$E$5+1157,""))</f>
        <v/>
      </c>
      <c r="B1159">
        <f>IF(A1159="","",LOOKUP(A1159,Basiszins!$A$5:$A$18,Basiszins!$B$5:$B$18))</f>
        <v/>
      </c>
      <c r="C1159">
        <f>IF(A1159="","",B1159+Rechner!$E$7)</f>
        <v/>
      </c>
      <c r="D1159">
        <f>J1158</f>
        <v/>
      </c>
      <c r="E1159">
        <f>IF(A1159="",0,D1159*C1159/100/(DATE(YEAR(A1159)+1,1,1)-DATE(YEAR(A1159),1,1)))</f>
        <v/>
      </c>
      <c r="F1159">
        <f>IF(A1159="",0,SUMIF(Rechner!$A$12:$A$21,A1159,Rechner!$B$12:$B$21))</f>
        <v/>
      </c>
      <c r="G1159">
        <f>H1158+E1159</f>
        <v/>
      </c>
      <c r="H1159">
        <f>G1159-MIN(F1159,G1159)</f>
        <v/>
      </c>
      <c r="I1159">
        <f>MIN(F1159-MIN(F1159,G1159),D1159)</f>
        <v/>
      </c>
      <c r="J1159">
        <f>D1159-I1159</f>
        <v/>
      </c>
      <c r="K1159">
        <f>F1159-MIN(F1159,G1159)-I1159</f>
        <v/>
      </c>
    </row>
    <row r="1160">
      <c r="A1160" s="21">
        <f>IF(Rechner!$E$4&lt;&gt;"ok","",IF(Rechner!$E$5+1158&lt;=Rechner!$B$6,Rechner!$E$5+1158,""))</f>
        <v/>
      </c>
      <c r="B1160">
        <f>IF(A1160="","",LOOKUP(A1160,Basiszins!$A$5:$A$18,Basiszins!$B$5:$B$18))</f>
        <v/>
      </c>
      <c r="C1160">
        <f>IF(A1160="","",B1160+Rechner!$E$7)</f>
        <v/>
      </c>
      <c r="D1160">
        <f>J1159</f>
        <v/>
      </c>
      <c r="E1160">
        <f>IF(A1160="",0,D1160*C1160/100/(DATE(YEAR(A1160)+1,1,1)-DATE(YEAR(A1160),1,1)))</f>
        <v/>
      </c>
      <c r="F1160">
        <f>IF(A1160="",0,SUMIF(Rechner!$A$12:$A$21,A1160,Rechner!$B$12:$B$21))</f>
        <v/>
      </c>
      <c r="G1160">
        <f>H1159+E1160</f>
        <v/>
      </c>
      <c r="H1160">
        <f>G1160-MIN(F1160,G1160)</f>
        <v/>
      </c>
      <c r="I1160">
        <f>MIN(F1160-MIN(F1160,G1160),D1160)</f>
        <v/>
      </c>
      <c r="J1160">
        <f>D1160-I1160</f>
        <v/>
      </c>
      <c r="K1160">
        <f>F1160-MIN(F1160,G1160)-I1160</f>
        <v/>
      </c>
    </row>
    <row r="1161">
      <c r="A1161" s="21">
        <f>IF(Rechner!$E$4&lt;&gt;"ok","",IF(Rechner!$E$5+1159&lt;=Rechner!$B$6,Rechner!$E$5+1159,""))</f>
        <v/>
      </c>
      <c r="B1161">
        <f>IF(A1161="","",LOOKUP(A1161,Basiszins!$A$5:$A$18,Basiszins!$B$5:$B$18))</f>
        <v/>
      </c>
      <c r="C1161">
        <f>IF(A1161="","",B1161+Rechner!$E$7)</f>
        <v/>
      </c>
      <c r="D1161">
        <f>J1160</f>
        <v/>
      </c>
      <c r="E1161">
        <f>IF(A1161="",0,D1161*C1161/100/(DATE(YEAR(A1161)+1,1,1)-DATE(YEAR(A1161),1,1)))</f>
        <v/>
      </c>
      <c r="F1161">
        <f>IF(A1161="",0,SUMIF(Rechner!$A$12:$A$21,A1161,Rechner!$B$12:$B$21))</f>
        <v/>
      </c>
      <c r="G1161">
        <f>H1160+E1161</f>
        <v/>
      </c>
      <c r="H1161">
        <f>G1161-MIN(F1161,G1161)</f>
        <v/>
      </c>
      <c r="I1161">
        <f>MIN(F1161-MIN(F1161,G1161),D1161)</f>
        <v/>
      </c>
      <c r="J1161">
        <f>D1161-I1161</f>
        <v/>
      </c>
      <c r="K1161">
        <f>F1161-MIN(F1161,G1161)-I1161</f>
        <v/>
      </c>
    </row>
    <row r="1162">
      <c r="A1162" s="21">
        <f>IF(Rechner!$E$4&lt;&gt;"ok","",IF(Rechner!$E$5+1160&lt;=Rechner!$B$6,Rechner!$E$5+1160,""))</f>
        <v/>
      </c>
      <c r="B1162">
        <f>IF(A1162="","",LOOKUP(A1162,Basiszins!$A$5:$A$18,Basiszins!$B$5:$B$18))</f>
        <v/>
      </c>
      <c r="C1162">
        <f>IF(A1162="","",B1162+Rechner!$E$7)</f>
        <v/>
      </c>
      <c r="D1162">
        <f>J1161</f>
        <v/>
      </c>
      <c r="E1162">
        <f>IF(A1162="",0,D1162*C1162/100/(DATE(YEAR(A1162)+1,1,1)-DATE(YEAR(A1162),1,1)))</f>
        <v/>
      </c>
      <c r="F1162">
        <f>IF(A1162="",0,SUMIF(Rechner!$A$12:$A$21,A1162,Rechner!$B$12:$B$21))</f>
        <v/>
      </c>
      <c r="G1162">
        <f>H1161+E1162</f>
        <v/>
      </c>
      <c r="H1162">
        <f>G1162-MIN(F1162,G1162)</f>
        <v/>
      </c>
      <c r="I1162">
        <f>MIN(F1162-MIN(F1162,G1162),D1162)</f>
        <v/>
      </c>
      <c r="J1162">
        <f>D1162-I1162</f>
        <v/>
      </c>
      <c r="K1162">
        <f>F1162-MIN(F1162,G1162)-I1162</f>
        <v/>
      </c>
    </row>
    <row r="1163">
      <c r="A1163" s="21">
        <f>IF(Rechner!$E$4&lt;&gt;"ok","",IF(Rechner!$E$5+1161&lt;=Rechner!$B$6,Rechner!$E$5+1161,""))</f>
        <v/>
      </c>
      <c r="B1163">
        <f>IF(A1163="","",LOOKUP(A1163,Basiszins!$A$5:$A$18,Basiszins!$B$5:$B$18))</f>
        <v/>
      </c>
      <c r="C1163">
        <f>IF(A1163="","",B1163+Rechner!$E$7)</f>
        <v/>
      </c>
      <c r="D1163">
        <f>J1162</f>
        <v/>
      </c>
      <c r="E1163">
        <f>IF(A1163="",0,D1163*C1163/100/(DATE(YEAR(A1163)+1,1,1)-DATE(YEAR(A1163),1,1)))</f>
        <v/>
      </c>
      <c r="F1163">
        <f>IF(A1163="",0,SUMIF(Rechner!$A$12:$A$21,A1163,Rechner!$B$12:$B$21))</f>
        <v/>
      </c>
      <c r="G1163">
        <f>H1162+E1163</f>
        <v/>
      </c>
      <c r="H1163">
        <f>G1163-MIN(F1163,G1163)</f>
        <v/>
      </c>
      <c r="I1163">
        <f>MIN(F1163-MIN(F1163,G1163),D1163)</f>
        <v/>
      </c>
      <c r="J1163">
        <f>D1163-I1163</f>
        <v/>
      </c>
      <c r="K1163">
        <f>F1163-MIN(F1163,G1163)-I1163</f>
        <v/>
      </c>
    </row>
    <row r="1164">
      <c r="A1164" s="21">
        <f>IF(Rechner!$E$4&lt;&gt;"ok","",IF(Rechner!$E$5+1162&lt;=Rechner!$B$6,Rechner!$E$5+1162,""))</f>
        <v/>
      </c>
      <c r="B1164">
        <f>IF(A1164="","",LOOKUP(A1164,Basiszins!$A$5:$A$18,Basiszins!$B$5:$B$18))</f>
        <v/>
      </c>
      <c r="C1164">
        <f>IF(A1164="","",B1164+Rechner!$E$7)</f>
        <v/>
      </c>
      <c r="D1164">
        <f>J1163</f>
        <v/>
      </c>
      <c r="E1164">
        <f>IF(A1164="",0,D1164*C1164/100/(DATE(YEAR(A1164)+1,1,1)-DATE(YEAR(A1164),1,1)))</f>
        <v/>
      </c>
      <c r="F1164">
        <f>IF(A1164="",0,SUMIF(Rechner!$A$12:$A$21,A1164,Rechner!$B$12:$B$21))</f>
        <v/>
      </c>
      <c r="G1164">
        <f>H1163+E1164</f>
        <v/>
      </c>
      <c r="H1164">
        <f>G1164-MIN(F1164,G1164)</f>
        <v/>
      </c>
      <c r="I1164">
        <f>MIN(F1164-MIN(F1164,G1164),D1164)</f>
        <v/>
      </c>
      <c r="J1164">
        <f>D1164-I1164</f>
        <v/>
      </c>
      <c r="K1164">
        <f>F1164-MIN(F1164,G1164)-I1164</f>
        <v/>
      </c>
    </row>
    <row r="1165">
      <c r="A1165" s="21">
        <f>IF(Rechner!$E$4&lt;&gt;"ok","",IF(Rechner!$E$5+1163&lt;=Rechner!$B$6,Rechner!$E$5+1163,""))</f>
        <v/>
      </c>
      <c r="B1165">
        <f>IF(A1165="","",LOOKUP(A1165,Basiszins!$A$5:$A$18,Basiszins!$B$5:$B$18))</f>
        <v/>
      </c>
      <c r="C1165">
        <f>IF(A1165="","",B1165+Rechner!$E$7)</f>
        <v/>
      </c>
      <c r="D1165">
        <f>J1164</f>
        <v/>
      </c>
      <c r="E1165">
        <f>IF(A1165="",0,D1165*C1165/100/(DATE(YEAR(A1165)+1,1,1)-DATE(YEAR(A1165),1,1)))</f>
        <v/>
      </c>
      <c r="F1165">
        <f>IF(A1165="",0,SUMIF(Rechner!$A$12:$A$21,A1165,Rechner!$B$12:$B$21))</f>
        <v/>
      </c>
      <c r="G1165">
        <f>H1164+E1165</f>
        <v/>
      </c>
      <c r="H1165">
        <f>G1165-MIN(F1165,G1165)</f>
        <v/>
      </c>
      <c r="I1165">
        <f>MIN(F1165-MIN(F1165,G1165),D1165)</f>
        <v/>
      </c>
      <c r="J1165">
        <f>D1165-I1165</f>
        <v/>
      </c>
      <c r="K1165">
        <f>F1165-MIN(F1165,G1165)-I1165</f>
        <v/>
      </c>
    </row>
    <row r="1166">
      <c r="A1166" s="21">
        <f>IF(Rechner!$E$4&lt;&gt;"ok","",IF(Rechner!$E$5+1164&lt;=Rechner!$B$6,Rechner!$E$5+1164,""))</f>
        <v/>
      </c>
      <c r="B1166">
        <f>IF(A1166="","",LOOKUP(A1166,Basiszins!$A$5:$A$18,Basiszins!$B$5:$B$18))</f>
        <v/>
      </c>
      <c r="C1166">
        <f>IF(A1166="","",B1166+Rechner!$E$7)</f>
        <v/>
      </c>
      <c r="D1166">
        <f>J1165</f>
        <v/>
      </c>
      <c r="E1166">
        <f>IF(A1166="",0,D1166*C1166/100/(DATE(YEAR(A1166)+1,1,1)-DATE(YEAR(A1166),1,1)))</f>
        <v/>
      </c>
      <c r="F1166">
        <f>IF(A1166="",0,SUMIF(Rechner!$A$12:$A$21,A1166,Rechner!$B$12:$B$21))</f>
        <v/>
      </c>
      <c r="G1166">
        <f>H1165+E1166</f>
        <v/>
      </c>
      <c r="H1166">
        <f>G1166-MIN(F1166,G1166)</f>
        <v/>
      </c>
      <c r="I1166">
        <f>MIN(F1166-MIN(F1166,G1166),D1166)</f>
        <v/>
      </c>
      <c r="J1166">
        <f>D1166-I1166</f>
        <v/>
      </c>
      <c r="K1166">
        <f>F1166-MIN(F1166,G1166)-I1166</f>
        <v/>
      </c>
    </row>
    <row r="1167">
      <c r="A1167" s="21">
        <f>IF(Rechner!$E$4&lt;&gt;"ok","",IF(Rechner!$E$5+1165&lt;=Rechner!$B$6,Rechner!$E$5+1165,""))</f>
        <v/>
      </c>
      <c r="B1167">
        <f>IF(A1167="","",LOOKUP(A1167,Basiszins!$A$5:$A$18,Basiszins!$B$5:$B$18))</f>
        <v/>
      </c>
      <c r="C1167">
        <f>IF(A1167="","",B1167+Rechner!$E$7)</f>
        <v/>
      </c>
      <c r="D1167">
        <f>J1166</f>
        <v/>
      </c>
      <c r="E1167">
        <f>IF(A1167="",0,D1167*C1167/100/(DATE(YEAR(A1167)+1,1,1)-DATE(YEAR(A1167),1,1)))</f>
        <v/>
      </c>
      <c r="F1167">
        <f>IF(A1167="",0,SUMIF(Rechner!$A$12:$A$21,A1167,Rechner!$B$12:$B$21))</f>
        <v/>
      </c>
      <c r="G1167">
        <f>H1166+E1167</f>
        <v/>
      </c>
      <c r="H1167">
        <f>G1167-MIN(F1167,G1167)</f>
        <v/>
      </c>
      <c r="I1167">
        <f>MIN(F1167-MIN(F1167,G1167),D1167)</f>
        <v/>
      </c>
      <c r="J1167">
        <f>D1167-I1167</f>
        <v/>
      </c>
      <c r="K1167">
        <f>F1167-MIN(F1167,G1167)-I1167</f>
        <v/>
      </c>
    </row>
    <row r="1168">
      <c r="A1168" s="21">
        <f>IF(Rechner!$E$4&lt;&gt;"ok","",IF(Rechner!$E$5+1166&lt;=Rechner!$B$6,Rechner!$E$5+1166,""))</f>
        <v/>
      </c>
      <c r="B1168">
        <f>IF(A1168="","",LOOKUP(A1168,Basiszins!$A$5:$A$18,Basiszins!$B$5:$B$18))</f>
        <v/>
      </c>
      <c r="C1168">
        <f>IF(A1168="","",B1168+Rechner!$E$7)</f>
        <v/>
      </c>
      <c r="D1168">
        <f>J1167</f>
        <v/>
      </c>
      <c r="E1168">
        <f>IF(A1168="",0,D1168*C1168/100/(DATE(YEAR(A1168)+1,1,1)-DATE(YEAR(A1168),1,1)))</f>
        <v/>
      </c>
      <c r="F1168">
        <f>IF(A1168="",0,SUMIF(Rechner!$A$12:$A$21,A1168,Rechner!$B$12:$B$21))</f>
        <v/>
      </c>
      <c r="G1168">
        <f>H1167+E1168</f>
        <v/>
      </c>
      <c r="H1168">
        <f>G1168-MIN(F1168,G1168)</f>
        <v/>
      </c>
      <c r="I1168">
        <f>MIN(F1168-MIN(F1168,G1168),D1168)</f>
        <v/>
      </c>
      <c r="J1168">
        <f>D1168-I1168</f>
        <v/>
      </c>
      <c r="K1168">
        <f>F1168-MIN(F1168,G1168)-I1168</f>
        <v/>
      </c>
    </row>
    <row r="1169">
      <c r="A1169" s="21">
        <f>IF(Rechner!$E$4&lt;&gt;"ok","",IF(Rechner!$E$5+1167&lt;=Rechner!$B$6,Rechner!$E$5+1167,""))</f>
        <v/>
      </c>
      <c r="B1169">
        <f>IF(A1169="","",LOOKUP(A1169,Basiszins!$A$5:$A$18,Basiszins!$B$5:$B$18))</f>
        <v/>
      </c>
      <c r="C1169">
        <f>IF(A1169="","",B1169+Rechner!$E$7)</f>
        <v/>
      </c>
      <c r="D1169">
        <f>J1168</f>
        <v/>
      </c>
      <c r="E1169">
        <f>IF(A1169="",0,D1169*C1169/100/(DATE(YEAR(A1169)+1,1,1)-DATE(YEAR(A1169),1,1)))</f>
        <v/>
      </c>
      <c r="F1169">
        <f>IF(A1169="",0,SUMIF(Rechner!$A$12:$A$21,A1169,Rechner!$B$12:$B$21))</f>
        <v/>
      </c>
      <c r="G1169">
        <f>H1168+E1169</f>
        <v/>
      </c>
      <c r="H1169">
        <f>G1169-MIN(F1169,G1169)</f>
        <v/>
      </c>
      <c r="I1169">
        <f>MIN(F1169-MIN(F1169,G1169),D1169)</f>
        <v/>
      </c>
      <c r="J1169">
        <f>D1169-I1169</f>
        <v/>
      </c>
      <c r="K1169">
        <f>F1169-MIN(F1169,G1169)-I1169</f>
        <v/>
      </c>
    </row>
    <row r="1170">
      <c r="A1170" s="21">
        <f>IF(Rechner!$E$4&lt;&gt;"ok","",IF(Rechner!$E$5+1168&lt;=Rechner!$B$6,Rechner!$E$5+1168,""))</f>
        <v/>
      </c>
      <c r="B1170">
        <f>IF(A1170="","",LOOKUP(A1170,Basiszins!$A$5:$A$18,Basiszins!$B$5:$B$18))</f>
        <v/>
      </c>
      <c r="C1170">
        <f>IF(A1170="","",B1170+Rechner!$E$7)</f>
        <v/>
      </c>
      <c r="D1170">
        <f>J1169</f>
        <v/>
      </c>
      <c r="E1170">
        <f>IF(A1170="",0,D1170*C1170/100/(DATE(YEAR(A1170)+1,1,1)-DATE(YEAR(A1170),1,1)))</f>
        <v/>
      </c>
      <c r="F1170">
        <f>IF(A1170="",0,SUMIF(Rechner!$A$12:$A$21,A1170,Rechner!$B$12:$B$21))</f>
        <v/>
      </c>
      <c r="G1170">
        <f>H1169+E1170</f>
        <v/>
      </c>
      <c r="H1170">
        <f>G1170-MIN(F1170,G1170)</f>
        <v/>
      </c>
      <c r="I1170">
        <f>MIN(F1170-MIN(F1170,G1170),D1170)</f>
        <v/>
      </c>
      <c r="J1170">
        <f>D1170-I1170</f>
        <v/>
      </c>
      <c r="K1170">
        <f>F1170-MIN(F1170,G1170)-I1170</f>
        <v/>
      </c>
    </row>
    <row r="1171">
      <c r="A1171" s="21">
        <f>IF(Rechner!$E$4&lt;&gt;"ok","",IF(Rechner!$E$5+1169&lt;=Rechner!$B$6,Rechner!$E$5+1169,""))</f>
        <v/>
      </c>
      <c r="B1171">
        <f>IF(A1171="","",LOOKUP(A1171,Basiszins!$A$5:$A$18,Basiszins!$B$5:$B$18))</f>
        <v/>
      </c>
      <c r="C1171">
        <f>IF(A1171="","",B1171+Rechner!$E$7)</f>
        <v/>
      </c>
      <c r="D1171">
        <f>J1170</f>
        <v/>
      </c>
      <c r="E1171">
        <f>IF(A1171="",0,D1171*C1171/100/(DATE(YEAR(A1171)+1,1,1)-DATE(YEAR(A1171),1,1)))</f>
        <v/>
      </c>
      <c r="F1171">
        <f>IF(A1171="",0,SUMIF(Rechner!$A$12:$A$21,A1171,Rechner!$B$12:$B$21))</f>
        <v/>
      </c>
      <c r="G1171">
        <f>H1170+E1171</f>
        <v/>
      </c>
      <c r="H1171">
        <f>G1171-MIN(F1171,G1171)</f>
        <v/>
      </c>
      <c r="I1171">
        <f>MIN(F1171-MIN(F1171,G1171),D1171)</f>
        <v/>
      </c>
      <c r="J1171">
        <f>D1171-I1171</f>
        <v/>
      </c>
      <c r="K1171">
        <f>F1171-MIN(F1171,G1171)-I1171</f>
        <v/>
      </c>
    </row>
    <row r="1172">
      <c r="A1172" s="21">
        <f>IF(Rechner!$E$4&lt;&gt;"ok","",IF(Rechner!$E$5+1170&lt;=Rechner!$B$6,Rechner!$E$5+1170,""))</f>
        <v/>
      </c>
      <c r="B1172">
        <f>IF(A1172="","",LOOKUP(A1172,Basiszins!$A$5:$A$18,Basiszins!$B$5:$B$18))</f>
        <v/>
      </c>
      <c r="C1172">
        <f>IF(A1172="","",B1172+Rechner!$E$7)</f>
        <v/>
      </c>
      <c r="D1172">
        <f>J1171</f>
        <v/>
      </c>
      <c r="E1172">
        <f>IF(A1172="",0,D1172*C1172/100/(DATE(YEAR(A1172)+1,1,1)-DATE(YEAR(A1172),1,1)))</f>
        <v/>
      </c>
      <c r="F1172">
        <f>IF(A1172="",0,SUMIF(Rechner!$A$12:$A$21,A1172,Rechner!$B$12:$B$21))</f>
        <v/>
      </c>
      <c r="G1172">
        <f>H1171+E1172</f>
        <v/>
      </c>
      <c r="H1172">
        <f>G1172-MIN(F1172,G1172)</f>
        <v/>
      </c>
      <c r="I1172">
        <f>MIN(F1172-MIN(F1172,G1172),D1172)</f>
        <v/>
      </c>
      <c r="J1172">
        <f>D1172-I1172</f>
        <v/>
      </c>
      <c r="K1172">
        <f>F1172-MIN(F1172,G1172)-I1172</f>
        <v/>
      </c>
    </row>
    <row r="1173">
      <c r="A1173" s="21">
        <f>IF(Rechner!$E$4&lt;&gt;"ok","",IF(Rechner!$E$5+1171&lt;=Rechner!$B$6,Rechner!$E$5+1171,""))</f>
        <v/>
      </c>
      <c r="B1173">
        <f>IF(A1173="","",LOOKUP(A1173,Basiszins!$A$5:$A$18,Basiszins!$B$5:$B$18))</f>
        <v/>
      </c>
      <c r="C1173">
        <f>IF(A1173="","",B1173+Rechner!$E$7)</f>
        <v/>
      </c>
      <c r="D1173">
        <f>J1172</f>
        <v/>
      </c>
      <c r="E1173">
        <f>IF(A1173="",0,D1173*C1173/100/(DATE(YEAR(A1173)+1,1,1)-DATE(YEAR(A1173),1,1)))</f>
        <v/>
      </c>
      <c r="F1173">
        <f>IF(A1173="",0,SUMIF(Rechner!$A$12:$A$21,A1173,Rechner!$B$12:$B$21))</f>
        <v/>
      </c>
      <c r="G1173">
        <f>H1172+E1173</f>
        <v/>
      </c>
      <c r="H1173">
        <f>G1173-MIN(F1173,G1173)</f>
        <v/>
      </c>
      <c r="I1173">
        <f>MIN(F1173-MIN(F1173,G1173),D1173)</f>
        <v/>
      </c>
      <c r="J1173">
        <f>D1173-I1173</f>
        <v/>
      </c>
      <c r="K1173">
        <f>F1173-MIN(F1173,G1173)-I1173</f>
        <v/>
      </c>
    </row>
    <row r="1174">
      <c r="A1174" s="21">
        <f>IF(Rechner!$E$4&lt;&gt;"ok","",IF(Rechner!$E$5+1172&lt;=Rechner!$B$6,Rechner!$E$5+1172,""))</f>
        <v/>
      </c>
      <c r="B1174">
        <f>IF(A1174="","",LOOKUP(A1174,Basiszins!$A$5:$A$18,Basiszins!$B$5:$B$18))</f>
        <v/>
      </c>
      <c r="C1174">
        <f>IF(A1174="","",B1174+Rechner!$E$7)</f>
        <v/>
      </c>
      <c r="D1174">
        <f>J1173</f>
        <v/>
      </c>
      <c r="E1174">
        <f>IF(A1174="",0,D1174*C1174/100/(DATE(YEAR(A1174)+1,1,1)-DATE(YEAR(A1174),1,1)))</f>
        <v/>
      </c>
      <c r="F1174">
        <f>IF(A1174="",0,SUMIF(Rechner!$A$12:$A$21,A1174,Rechner!$B$12:$B$21))</f>
        <v/>
      </c>
      <c r="G1174">
        <f>H1173+E1174</f>
        <v/>
      </c>
      <c r="H1174">
        <f>G1174-MIN(F1174,G1174)</f>
        <v/>
      </c>
      <c r="I1174">
        <f>MIN(F1174-MIN(F1174,G1174),D1174)</f>
        <v/>
      </c>
      <c r="J1174">
        <f>D1174-I1174</f>
        <v/>
      </c>
      <c r="K1174">
        <f>F1174-MIN(F1174,G1174)-I1174</f>
        <v/>
      </c>
    </row>
    <row r="1175">
      <c r="A1175" s="21">
        <f>IF(Rechner!$E$4&lt;&gt;"ok","",IF(Rechner!$E$5+1173&lt;=Rechner!$B$6,Rechner!$E$5+1173,""))</f>
        <v/>
      </c>
      <c r="B1175">
        <f>IF(A1175="","",LOOKUP(A1175,Basiszins!$A$5:$A$18,Basiszins!$B$5:$B$18))</f>
        <v/>
      </c>
      <c r="C1175">
        <f>IF(A1175="","",B1175+Rechner!$E$7)</f>
        <v/>
      </c>
      <c r="D1175">
        <f>J1174</f>
        <v/>
      </c>
      <c r="E1175">
        <f>IF(A1175="",0,D1175*C1175/100/(DATE(YEAR(A1175)+1,1,1)-DATE(YEAR(A1175),1,1)))</f>
        <v/>
      </c>
      <c r="F1175">
        <f>IF(A1175="",0,SUMIF(Rechner!$A$12:$A$21,A1175,Rechner!$B$12:$B$21))</f>
        <v/>
      </c>
      <c r="G1175">
        <f>H1174+E1175</f>
        <v/>
      </c>
      <c r="H1175">
        <f>G1175-MIN(F1175,G1175)</f>
        <v/>
      </c>
      <c r="I1175">
        <f>MIN(F1175-MIN(F1175,G1175),D1175)</f>
        <v/>
      </c>
      <c r="J1175">
        <f>D1175-I1175</f>
        <v/>
      </c>
      <c r="K1175">
        <f>F1175-MIN(F1175,G1175)-I1175</f>
        <v/>
      </c>
    </row>
    <row r="1176">
      <c r="A1176" s="21">
        <f>IF(Rechner!$E$4&lt;&gt;"ok","",IF(Rechner!$E$5+1174&lt;=Rechner!$B$6,Rechner!$E$5+1174,""))</f>
        <v/>
      </c>
      <c r="B1176">
        <f>IF(A1176="","",LOOKUP(A1176,Basiszins!$A$5:$A$18,Basiszins!$B$5:$B$18))</f>
        <v/>
      </c>
      <c r="C1176">
        <f>IF(A1176="","",B1176+Rechner!$E$7)</f>
        <v/>
      </c>
      <c r="D1176">
        <f>J1175</f>
        <v/>
      </c>
      <c r="E1176">
        <f>IF(A1176="",0,D1176*C1176/100/(DATE(YEAR(A1176)+1,1,1)-DATE(YEAR(A1176),1,1)))</f>
        <v/>
      </c>
      <c r="F1176">
        <f>IF(A1176="",0,SUMIF(Rechner!$A$12:$A$21,A1176,Rechner!$B$12:$B$21))</f>
        <v/>
      </c>
      <c r="G1176">
        <f>H1175+E1176</f>
        <v/>
      </c>
      <c r="H1176">
        <f>G1176-MIN(F1176,G1176)</f>
        <v/>
      </c>
      <c r="I1176">
        <f>MIN(F1176-MIN(F1176,G1176),D1176)</f>
        <v/>
      </c>
      <c r="J1176">
        <f>D1176-I1176</f>
        <v/>
      </c>
      <c r="K1176">
        <f>F1176-MIN(F1176,G1176)-I1176</f>
        <v/>
      </c>
    </row>
    <row r="1177">
      <c r="A1177" s="21">
        <f>IF(Rechner!$E$4&lt;&gt;"ok","",IF(Rechner!$E$5+1175&lt;=Rechner!$B$6,Rechner!$E$5+1175,""))</f>
        <v/>
      </c>
      <c r="B1177">
        <f>IF(A1177="","",LOOKUP(A1177,Basiszins!$A$5:$A$18,Basiszins!$B$5:$B$18))</f>
        <v/>
      </c>
      <c r="C1177">
        <f>IF(A1177="","",B1177+Rechner!$E$7)</f>
        <v/>
      </c>
      <c r="D1177">
        <f>J1176</f>
        <v/>
      </c>
      <c r="E1177">
        <f>IF(A1177="",0,D1177*C1177/100/(DATE(YEAR(A1177)+1,1,1)-DATE(YEAR(A1177),1,1)))</f>
        <v/>
      </c>
      <c r="F1177">
        <f>IF(A1177="",0,SUMIF(Rechner!$A$12:$A$21,A1177,Rechner!$B$12:$B$21))</f>
        <v/>
      </c>
      <c r="G1177">
        <f>H1176+E1177</f>
        <v/>
      </c>
      <c r="H1177">
        <f>G1177-MIN(F1177,G1177)</f>
        <v/>
      </c>
      <c r="I1177">
        <f>MIN(F1177-MIN(F1177,G1177),D1177)</f>
        <v/>
      </c>
      <c r="J1177">
        <f>D1177-I1177</f>
        <v/>
      </c>
      <c r="K1177">
        <f>F1177-MIN(F1177,G1177)-I1177</f>
        <v/>
      </c>
    </row>
    <row r="1178">
      <c r="A1178" s="21">
        <f>IF(Rechner!$E$4&lt;&gt;"ok","",IF(Rechner!$E$5+1176&lt;=Rechner!$B$6,Rechner!$E$5+1176,""))</f>
        <v/>
      </c>
      <c r="B1178">
        <f>IF(A1178="","",LOOKUP(A1178,Basiszins!$A$5:$A$18,Basiszins!$B$5:$B$18))</f>
        <v/>
      </c>
      <c r="C1178">
        <f>IF(A1178="","",B1178+Rechner!$E$7)</f>
        <v/>
      </c>
      <c r="D1178">
        <f>J1177</f>
        <v/>
      </c>
      <c r="E1178">
        <f>IF(A1178="",0,D1178*C1178/100/(DATE(YEAR(A1178)+1,1,1)-DATE(YEAR(A1178),1,1)))</f>
        <v/>
      </c>
      <c r="F1178">
        <f>IF(A1178="",0,SUMIF(Rechner!$A$12:$A$21,A1178,Rechner!$B$12:$B$21))</f>
        <v/>
      </c>
      <c r="G1178">
        <f>H1177+E1178</f>
        <v/>
      </c>
      <c r="H1178">
        <f>G1178-MIN(F1178,G1178)</f>
        <v/>
      </c>
      <c r="I1178">
        <f>MIN(F1178-MIN(F1178,G1178),D1178)</f>
        <v/>
      </c>
      <c r="J1178">
        <f>D1178-I1178</f>
        <v/>
      </c>
      <c r="K1178">
        <f>F1178-MIN(F1178,G1178)-I1178</f>
        <v/>
      </c>
    </row>
    <row r="1179">
      <c r="A1179" s="21">
        <f>IF(Rechner!$E$4&lt;&gt;"ok","",IF(Rechner!$E$5+1177&lt;=Rechner!$B$6,Rechner!$E$5+1177,""))</f>
        <v/>
      </c>
      <c r="B1179">
        <f>IF(A1179="","",LOOKUP(A1179,Basiszins!$A$5:$A$18,Basiszins!$B$5:$B$18))</f>
        <v/>
      </c>
      <c r="C1179">
        <f>IF(A1179="","",B1179+Rechner!$E$7)</f>
        <v/>
      </c>
      <c r="D1179">
        <f>J1178</f>
        <v/>
      </c>
      <c r="E1179">
        <f>IF(A1179="",0,D1179*C1179/100/(DATE(YEAR(A1179)+1,1,1)-DATE(YEAR(A1179),1,1)))</f>
        <v/>
      </c>
      <c r="F1179">
        <f>IF(A1179="",0,SUMIF(Rechner!$A$12:$A$21,A1179,Rechner!$B$12:$B$21))</f>
        <v/>
      </c>
      <c r="G1179">
        <f>H1178+E1179</f>
        <v/>
      </c>
      <c r="H1179">
        <f>G1179-MIN(F1179,G1179)</f>
        <v/>
      </c>
      <c r="I1179">
        <f>MIN(F1179-MIN(F1179,G1179),D1179)</f>
        <v/>
      </c>
      <c r="J1179">
        <f>D1179-I1179</f>
        <v/>
      </c>
      <c r="K1179">
        <f>F1179-MIN(F1179,G1179)-I1179</f>
        <v/>
      </c>
    </row>
    <row r="1180">
      <c r="A1180" s="21">
        <f>IF(Rechner!$E$4&lt;&gt;"ok","",IF(Rechner!$E$5+1178&lt;=Rechner!$B$6,Rechner!$E$5+1178,""))</f>
        <v/>
      </c>
      <c r="B1180">
        <f>IF(A1180="","",LOOKUP(A1180,Basiszins!$A$5:$A$18,Basiszins!$B$5:$B$18))</f>
        <v/>
      </c>
      <c r="C1180">
        <f>IF(A1180="","",B1180+Rechner!$E$7)</f>
        <v/>
      </c>
      <c r="D1180">
        <f>J1179</f>
        <v/>
      </c>
      <c r="E1180">
        <f>IF(A1180="",0,D1180*C1180/100/(DATE(YEAR(A1180)+1,1,1)-DATE(YEAR(A1180),1,1)))</f>
        <v/>
      </c>
      <c r="F1180">
        <f>IF(A1180="",0,SUMIF(Rechner!$A$12:$A$21,A1180,Rechner!$B$12:$B$21))</f>
        <v/>
      </c>
      <c r="G1180">
        <f>H1179+E1180</f>
        <v/>
      </c>
      <c r="H1180">
        <f>G1180-MIN(F1180,G1180)</f>
        <v/>
      </c>
      <c r="I1180">
        <f>MIN(F1180-MIN(F1180,G1180),D1180)</f>
        <v/>
      </c>
      <c r="J1180">
        <f>D1180-I1180</f>
        <v/>
      </c>
      <c r="K1180">
        <f>F1180-MIN(F1180,G1180)-I1180</f>
        <v/>
      </c>
    </row>
    <row r="1181">
      <c r="A1181" s="21">
        <f>IF(Rechner!$E$4&lt;&gt;"ok","",IF(Rechner!$E$5+1179&lt;=Rechner!$B$6,Rechner!$E$5+1179,""))</f>
        <v/>
      </c>
      <c r="B1181">
        <f>IF(A1181="","",LOOKUP(A1181,Basiszins!$A$5:$A$18,Basiszins!$B$5:$B$18))</f>
        <v/>
      </c>
      <c r="C1181">
        <f>IF(A1181="","",B1181+Rechner!$E$7)</f>
        <v/>
      </c>
      <c r="D1181">
        <f>J1180</f>
        <v/>
      </c>
      <c r="E1181">
        <f>IF(A1181="",0,D1181*C1181/100/(DATE(YEAR(A1181)+1,1,1)-DATE(YEAR(A1181),1,1)))</f>
        <v/>
      </c>
      <c r="F1181">
        <f>IF(A1181="",0,SUMIF(Rechner!$A$12:$A$21,A1181,Rechner!$B$12:$B$21))</f>
        <v/>
      </c>
      <c r="G1181">
        <f>H1180+E1181</f>
        <v/>
      </c>
      <c r="H1181">
        <f>G1181-MIN(F1181,G1181)</f>
        <v/>
      </c>
      <c r="I1181">
        <f>MIN(F1181-MIN(F1181,G1181),D1181)</f>
        <v/>
      </c>
      <c r="J1181">
        <f>D1181-I1181</f>
        <v/>
      </c>
      <c r="K1181">
        <f>F1181-MIN(F1181,G1181)-I1181</f>
        <v/>
      </c>
    </row>
    <row r="1182">
      <c r="A1182" s="21">
        <f>IF(Rechner!$E$4&lt;&gt;"ok","",IF(Rechner!$E$5+1180&lt;=Rechner!$B$6,Rechner!$E$5+1180,""))</f>
        <v/>
      </c>
      <c r="B1182">
        <f>IF(A1182="","",LOOKUP(A1182,Basiszins!$A$5:$A$18,Basiszins!$B$5:$B$18))</f>
        <v/>
      </c>
      <c r="C1182">
        <f>IF(A1182="","",B1182+Rechner!$E$7)</f>
        <v/>
      </c>
      <c r="D1182">
        <f>J1181</f>
        <v/>
      </c>
      <c r="E1182">
        <f>IF(A1182="",0,D1182*C1182/100/(DATE(YEAR(A1182)+1,1,1)-DATE(YEAR(A1182),1,1)))</f>
        <v/>
      </c>
      <c r="F1182">
        <f>IF(A1182="",0,SUMIF(Rechner!$A$12:$A$21,A1182,Rechner!$B$12:$B$21))</f>
        <v/>
      </c>
      <c r="G1182">
        <f>H1181+E1182</f>
        <v/>
      </c>
      <c r="H1182">
        <f>G1182-MIN(F1182,G1182)</f>
        <v/>
      </c>
      <c r="I1182">
        <f>MIN(F1182-MIN(F1182,G1182),D1182)</f>
        <v/>
      </c>
      <c r="J1182">
        <f>D1182-I1182</f>
        <v/>
      </c>
      <c r="K1182">
        <f>F1182-MIN(F1182,G1182)-I1182</f>
        <v/>
      </c>
    </row>
    <row r="1183">
      <c r="A1183" s="21">
        <f>IF(Rechner!$E$4&lt;&gt;"ok","",IF(Rechner!$E$5+1181&lt;=Rechner!$B$6,Rechner!$E$5+1181,""))</f>
        <v/>
      </c>
      <c r="B1183">
        <f>IF(A1183="","",LOOKUP(A1183,Basiszins!$A$5:$A$18,Basiszins!$B$5:$B$18))</f>
        <v/>
      </c>
      <c r="C1183">
        <f>IF(A1183="","",B1183+Rechner!$E$7)</f>
        <v/>
      </c>
      <c r="D1183">
        <f>J1182</f>
        <v/>
      </c>
      <c r="E1183">
        <f>IF(A1183="",0,D1183*C1183/100/(DATE(YEAR(A1183)+1,1,1)-DATE(YEAR(A1183),1,1)))</f>
        <v/>
      </c>
      <c r="F1183">
        <f>IF(A1183="",0,SUMIF(Rechner!$A$12:$A$21,A1183,Rechner!$B$12:$B$21))</f>
        <v/>
      </c>
      <c r="G1183">
        <f>H1182+E1183</f>
        <v/>
      </c>
      <c r="H1183">
        <f>G1183-MIN(F1183,G1183)</f>
        <v/>
      </c>
      <c r="I1183">
        <f>MIN(F1183-MIN(F1183,G1183),D1183)</f>
        <v/>
      </c>
      <c r="J1183">
        <f>D1183-I1183</f>
        <v/>
      </c>
      <c r="K1183">
        <f>F1183-MIN(F1183,G1183)-I1183</f>
        <v/>
      </c>
    </row>
    <row r="1184">
      <c r="A1184" s="21">
        <f>IF(Rechner!$E$4&lt;&gt;"ok","",IF(Rechner!$E$5+1182&lt;=Rechner!$B$6,Rechner!$E$5+1182,""))</f>
        <v/>
      </c>
      <c r="B1184">
        <f>IF(A1184="","",LOOKUP(A1184,Basiszins!$A$5:$A$18,Basiszins!$B$5:$B$18))</f>
        <v/>
      </c>
      <c r="C1184">
        <f>IF(A1184="","",B1184+Rechner!$E$7)</f>
        <v/>
      </c>
      <c r="D1184">
        <f>J1183</f>
        <v/>
      </c>
      <c r="E1184">
        <f>IF(A1184="",0,D1184*C1184/100/(DATE(YEAR(A1184)+1,1,1)-DATE(YEAR(A1184),1,1)))</f>
        <v/>
      </c>
      <c r="F1184">
        <f>IF(A1184="",0,SUMIF(Rechner!$A$12:$A$21,A1184,Rechner!$B$12:$B$21))</f>
        <v/>
      </c>
      <c r="G1184">
        <f>H1183+E1184</f>
        <v/>
      </c>
      <c r="H1184">
        <f>G1184-MIN(F1184,G1184)</f>
        <v/>
      </c>
      <c r="I1184">
        <f>MIN(F1184-MIN(F1184,G1184),D1184)</f>
        <v/>
      </c>
      <c r="J1184">
        <f>D1184-I1184</f>
        <v/>
      </c>
      <c r="K1184">
        <f>F1184-MIN(F1184,G1184)-I1184</f>
        <v/>
      </c>
    </row>
    <row r="1185">
      <c r="A1185" s="21">
        <f>IF(Rechner!$E$4&lt;&gt;"ok","",IF(Rechner!$E$5+1183&lt;=Rechner!$B$6,Rechner!$E$5+1183,""))</f>
        <v/>
      </c>
      <c r="B1185">
        <f>IF(A1185="","",LOOKUP(A1185,Basiszins!$A$5:$A$18,Basiszins!$B$5:$B$18))</f>
        <v/>
      </c>
      <c r="C1185">
        <f>IF(A1185="","",B1185+Rechner!$E$7)</f>
        <v/>
      </c>
      <c r="D1185">
        <f>J1184</f>
        <v/>
      </c>
      <c r="E1185">
        <f>IF(A1185="",0,D1185*C1185/100/(DATE(YEAR(A1185)+1,1,1)-DATE(YEAR(A1185),1,1)))</f>
        <v/>
      </c>
      <c r="F1185">
        <f>IF(A1185="",0,SUMIF(Rechner!$A$12:$A$21,A1185,Rechner!$B$12:$B$21))</f>
        <v/>
      </c>
      <c r="G1185">
        <f>H1184+E1185</f>
        <v/>
      </c>
      <c r="H1185">
        <f>G1185-MIN(F1185,G1185)</f>
        <v/>
      </c>
      <c r="I1185">
        <f>MIN(F1185-MIN(F1185,G1185),D1185)</f>
        <v/>
      </c>
      <c r="J1185">
        <f>D1185-I1185</f>
        <v/>
      </c>
      <c r="K1185">
        <f>F1185-MIN(F1185,G1185)-I1185</f>
        <v/>
      </c>
    </row>
    <row r="1186">
      <c r="A1186" s="21">
        <f>IF(Rechner!$E$4&lt;&gt;"ok","",IF(Rechner!$E$5+1184&lt;=Rechner!$B$6,Rechner!$E$5+1184,""))</f>
        <v/>
      </c>
      <c r="B1186">
        <f>IF(A1186="","",LOOKUP(A1186,Basiszins!$A$5:$A$18,Basiszins!$B$5:$B$18))</f>
        <v/>
      </c>
      <c r="C1186">
        <f>IF(A1186="","",B1186+Rechner!$E$7)</f>
        <v/>
      </c>
      <c r="D1186">
        <f>J1185</f>
        <v/>
      </c>
      <c r="E1186">
        <f>IF(A1186="",0,D1186*C1186/100/(DATE(YEAR(A1186)+1,1,1)-DATE(YEAR(A1186),1,1)))</f>
        <v/>
      </c>
      <c r="F1186">
        <f>IF(A1186="",0,SUMIF(Rechner!$A$12:$A$21,A1186,Rechner!$B$12:$B$21))</f>
        <v/>
      </c>
      <c r="G1186">
        <f>H1185+E1186</f>
        <v/>
      </c>
      <c r="H1186">
        <f>G1186-MIN(F1186,G1186)</f>
        <v/>
      </c>
      <c r="I1186">
        <f>MIN(F1186-MIN(F1186,G1186),D1186)</f>
        <v/>
      </c>
      <c r="J1186">
        <f>D1186-I1186</f>
        <v/>
      </c>
      <c r="K1186">
        <f>F1186-MIN(F1186,G1186)-I1186</f>
        <v/>
      </c>
    </row>
    <row r="1187">
      <c r="A1187" s="21">
        <f>IF(Rechner!$E$4&lt;&gt;"ok","",IF(Rechner!$E$5+1185&lt;=Rechner!$B$6,Rechner!$E$5+1185,""))</f>
        <v/>
      </c>
      <c r="B1187">
        <f>IF(A1187="","",LOOKUP(A1187,Basiszins!$A$5:$A$18,Basiszins!$B$5:$B$18))</f>
        <v/>
      </c>
      <c r="C1187">
        <f>IF(A1187="","",B1187+Rechner!$E$7)</f>
        <v/>
      </c>
      <c r="D1187">
        <f>J1186</f>
        <v/>
      </c>
      <c r="E1187">
        <f>IF(A1187="",0,D1187*C1187/100/(DATE(YEAR(A1187)+1,1,1)-DATE(YEAR(A1187),1,1)))</f>
        <v/>
      </c>
      <c r="F1187">
        <f>IF(A1187="",0,SUMIF(Rechner!$A$12:$A$21,A1187,Rechner!$B$12:$B$21))</f>
        <v/>
      </c>
      <c r="G1187">
        <f>H1186+E1187</f>
        <v/>
      </c>
      <c r="H1187">
        <f>G1187-MIN(F1187,G1187)</f>
        <v/>
      </c>
      <c r="I1187">
        <f>MIN(F1187-MIN(F1187,G1187),D1187)</f>
        <v/>
      </c>
      <c r="J1187">
        <f>D1187-I1187</f>
        <v/>
      </c>
      <c r="K1187">
        <f>F1187-MIN(F1187,G1187)-I1187</f>
        <v/>
      </c>
    </row>
    <row r="1188">
      <c r="A1188" s="21">
        <f>IF(Rechner!$E$4&lt;&gt;"ok","",IF(Rechner!$E$5+1186&lt;=Rechner!$B$6,Rechner!$E$5+1186,""))</f>
        <v/>
      </c>
      <c r="B1188">
        <f>IF(A1188="","",LOOKUP(A1188,Basiszins!$A$5:$A$18,Basiszins!$B$5:$B$18))</f>
        <v/>
      </c>
      <c r="C1188">
        <f>IF(A1188="","",B1188+Rechner!$E$7)</f>
        <v/>
      </c>
      <c r="D1188">
        <f>J1187</f>
        <v/>
      </c>
      <c r="E1188">
        <f>IF(A1188="",0,D1188*C1188/100/(DATE(YEAR(A1188)+1,1,1)-DATE(YEAR(A1188),1,1)))</f>
        <v/>
      </c>
      <c r="F1188">
        <f>IF(A1188="",0,SUMIF(Rechner!$A$12:$A$21,A1188,Rechner!$B$12:$B$21))</f>
        <v/>
      </c>
      <c r="G1188">
        <f>H1187+E1188</f>
        <v/>
      </c>
      <c r="H1188">
        <f>G1188-MIN(F1188,G1188)</f>
        <v/>
      </c>
      <c r="I1188">
        <f>MIN(F1188-MIN(F1188,G1188),D1188)</f>
        <v/>
      </c>
      <c r="J1188">
        <f>D1188-I1188</f>
        <v/>
      </c>
      <c r="K1188">
        <f>F1188-MIN(F1188,G1188)-I1188</f>
        <v/>
      </c>
    </row>
    <row r="1189">
      <c r="A1189" s="21">
        <f>IF(Rechner!$E$4&lt;&gt;"ok","",IF(Rechner!$E$5+1187&lt;=Rechner!$B$6,Rechner!$E$5+1187,""))</f>
        <v/>
      </c>
      <c r="B1189">
        <f>IF(A1189="","",LOOKUP(A1189,Basiszins!$A$5:$A$18,Basiszins!$B$5:$B$18))</f>
        <v/>
      </c>
      <c r="C1189">
        <f>IF(A1189="","",B1189+Rechner!$E$7)</f>
        <v/>
      </c>
      <c r="D1189">
        <f>J1188</f>
        <v/>
      </c>
      <c r="E1189">
        <f>IF(A1189="",0,D1189*C1189/100/(DATE(YEAR(A1189)+1,1,1)-DATE(YEAR(A1189),1,1)))</f>
        <v/>
      </c>
      <c r="F1189">
        <f>IF(A1189="",0,SUMIF(Rechner!$A$12:$A$21,A1189,Rechner!$B$12:$B$21))</f>
        <v/>
      </c>
      <c r="G1189">
        <f>H1188+E1189</f>
        <v/>
      </c>
      <c r="H1189">
        <f>G1189-MIN(F1189,G1189)</f>
        <v/>
      </c>
      <c r="I1189">
        <f>MIN(F1189-MIN(F1189,G1189),D1189)</f>
        <v/>
      </c>
      <c r="J1189">
        <f>D1189-I1189</f>
        <v/>
      </c>
      <c r="K1189">
        <f>F1189-MIN(F1189,G1189)-I1189</f>
        <v/>
      </c>
    </row>
    <row r="1190">
      <c r="A1190" s="21">
        <f>IF(Rechner!$E$4&lt;&gt;"ok","",IF(Rechner!$E$5+1188&lt;=Rechner!$B$6,Rechner!$E$5+1188,""))</f>
        <v/>
      </c>
      <c r="B1190">
        <f>IF(A1190="","",LOOKUP(A1190,Basiszins!$A$5:$A$18,Basiszins!$B$5:$B$18))</f>
        <v/>
      </c>
      <c r="C1190">
        <f>IF(A1190="","",B1190+Rechner!$E$7)</f>
        <v/>
      </c>
      <c r="D1190">
        <f>J1189</f>
        <v/>
      </c>
      <c r="E1190">
        <f>IF(A1190="",0,D1190*C1190/100/(DATE(YEAR(A1190)+1,1,1)-DATE(YEAR(A1190),1,1)))</f>
        <v/>
      </c>
      <c r="F1190">
        <f>IF(A1190="",0,SUMIF(Rechner!$A$12:$A$21,A1190,Rechner!$B$12:$B$21))</f>
        <v/>
      </c>
      <c r="G1190">
        <f>H1189+E1190</f>
        <v/>
      </c>
      <c r="H1190">
        <f>G1190-MIN(F1190,G1190)</f>
        <v/>
      </c>
      <c r="I1190">
        <f>MIN(F1190-MIN(F1190,G1190),D1190)</f>
        <v/>
      </c>
      <c r="J1190">
        <f>D1190-I1190</f>
        <v/>
      </c>
      <c r="K1190">
        <f>F1190-MIN(F1190,G1190)-I1190</f>
        <v/>
      </c>
    </row>
    <row r="1191">
      <c r="A1191" s="21">
        <f>IF(Rechner!$E$4&lt;&gt;"ok","",IF(Rechner!$E$5+1189&lt;=Rechner!$B$6,Rechner!$E$5+1189,""))</f>
        <v/>
      </c>
      <c r="B1191">
        <f>IF(A1191="","",LOOKUP(A1191,Basiszins!$A$5:$A$18,Basiszins!$B$5:$B$18))</f>
        <v/>
      </c>
      <c r="C1191">
        <f>IF(A1191="","",B1191+Rechner!$E$7)</f>
        <v/>
      </c>
      <c r="D1191">
        <f>J1190</f>
        <v/>
      </c>
      <c r="E1191">
        <f>IF(A1191="",0,D1191*C1191/100/(DATE(YEAR(A1191)+1,1,1)-DATE(YEAR(A1191),1,1)))</f>
        <v/>
      </c>
      <c r="F1191">
        <f>IF(A1191="",0,SUMIF(Rechner!$A$12:$A$21,A1191,Rechner!$B$12:$B$21))</f>
        <v/>
      </c>
      <c r="G1191">
        <f>H1190+E1191</f>
        <v/>
      </c>
      <c r="H1191">
        <f>G1191-MIN(F1191,G1191)</f>
        <v/>
      </c>
      <c r="I1191">
        <f>MIN(F1191-MIN(F1191,G1191),D1191)</f>
        <v/>
      </c>
      <c r="J1191">
        <f>D1191-I1191</f>
        <v/>
      </c>
      <c r="K1191">
        <f>F1191-MIN(F1191,G1191)-I1191</f>
        <v/>
      </c>
    </row>
    <row r="1192">
      <c r="A1192" s="21">
        <f>IF(Rechner!$E$4&lt;&gt;"ok","",IF(Rechner!$E$5+1190&lt;=Rechner!$B$6,Rechner!$E$5+1190,""))</f>
        <v/>
      </c>
      <c r="B1192">
        <f>IF(A1192="","",LOOKUP(A1192,Basiszins!$A$5:$A$18,Basiszins!$B$5:$B$18))</f>
        <v/>
      </c>
      <c r="C1192">
        <f>IF(A1192="","",B1192+Rechner!$E$7)</f>
        <v/>
      </c>
      <c r="D1192">
        <f>J1191</f>
        <v/>
      </c>
      <c r="E1192">
        <f>IF(A1192="",0,D1192*C1192/100/(DATE(YEAR(A1192)+1,1,1)-DATE(YEAR(A1192),1,1)))</f>
        <v/>
      </c>
      <c r="F1192">
        <f>IF(A1192="",0,SUMIF(Rechner!$A$12:$A$21,A1192,Rechner!$B$12:$B$21))</f>
        <v/>
      </c>
      <c r="G1192">
        <f>H1191+E1192</f>
        <v/>
      </c>
      <c r="H1192">
        <f>G1192-MIN(F1192,G1192)</f>
        <v/>
      </c>
      <c r="I1192">
        <f>MIN(F1192-MIN(F1192,G1192),D1192)</f>
        <v/>
      </c>
      <c r="J1192">
        <f>D1192-I1192</f>
        <v/>
      </c>
      <c r="K1192">
        <f>F1192-MIN(F1192,G1192)-I1192</f>
        <v/>
      </c>
    </row>
    <row r="1193">
      <c r="A1193" s="21">
        <f>IF(Rechner!$E$4&lt;&gt;"ok","",IF(Rechner!$E$5+1191&lt;=Rechner!$B$6,Rechner!$E$5+1191,""))</f>
        <v/>
      </c>
      <c r="B1193">
        <f>IF(A1193="","",LOOKUP(A1193,Basiszins!$A$5:$A$18,Basiszins!$B$5:$B$18))</f>
        <v/>
      </c>
      <c r="C1193">
        <f>IF(A1193="","",B1193+Rechner!$E$7)</f>
        <v/>
      </c>
      <c r="D1193">
        <f>J1192</f>
        <v/>
      </c>
      <c r="E1193">
        <f>IF(A1193="",0,D1193*C1193/100/(DATE(YEAR(A1193)+1,1,1)-DATE(YEAR(A1193),1,1)))</f>
        <v/>
      </c>
      <c r="F1193">
        <f>IF(A1193="",0,SUMIF(Rechner!$A$12:$A$21,A1193,Rechner!$B$12:$B$21))</f>
        <v/>
      </c>
      <c r="G1193">
        <f>H1192+E1193</f>
        <v/>
      </c>
      <c r="H1193">
        <f>G1193-MIN(F1193,G1193)</f>
        <v/>
      </c>
      <c r="I1193">
        <f>MIN(F1193-MIN(F1193,G1193),D1193)</f>
        <v/>
      </c>
      <c r="J1193">
        <f>D1193-I1193</f>
        <v/>
      </c>
      <c r="K1193">
        <f>F1193-MIN(F1193,G1193)-I1193</f>
        <v/>
      </c>
    </row>
    <row r="1194">
      <c r="A1194" s="21">
        <f>IF(Rechner!$E$4&lt;&gt;"ok","",IF(Rechner!$E$5+1192&lt;=Rechner!$B$6,Rechner!$E$5+1192,""))</f>
        <v/>
      </c>
      <c r="B1194">
        <f>IF(A1194="","",LOOKUP(A1194,Basiszins!$A$5:$A$18,Basiszins!$B$5:$B$18))</f>
        <v/>
      </c>
      <c r="C1194">
        <f>IF(A1194="","",B1194+Rechner!$E$7)</f>
        <v/>
      </c>
      <c r="D1194">
        <f>J1193</f>
        <v/>
      </c>
      <c r="E1194">
        <f>IF(A1194="",0,D1194*C1194/100/(DATE(YEAR(A1194)+1,1,1)-DATE(YEAR(A1194),1,1)))</f>
        <v/>
      </c>
      <c r="F1194">
        <f>IF(A1194="",0,SUMIF(Rechner!$A$12:$A$21,A1194,Rechner!$B$12:$B$21))</f>
        <v/>
      </c>
      <c r="G1194">
        <f>H1193+E1194</f>
        <v/>
      </c>
      <c r="H1194">
        <f>G1194-MIN(F1194,G1194)</f>
        <v/>
      </c>
      <c r="I1194">
        <f>MIN(F1194-MIN(F1194,G1194),D1194)</f>
        <v/>
      </c>
      <c r="J1194">
        <f>D1194-I1194</f>
        <v/>
      </c>
      <c r="K1194">
        <f>F1194-MIN(F1194,G1194)-I1194</f>
        <v/>
      </c>
    </row>
    <row r="1195">
      <c r="A1195" s="21">
        <f>IF(Rechner!$E$4&lt;&gt;"ok","",IF(Rechner!$E$5+1193&lt;=Rechner!$B$6,Rechner!$E$5+1193,""))</f>
        <v/>
      </c>
      <c r="B1195">
        <f>IF(A1195="","",LOOKUP(A1195,Basiszins!$A$5:$A$18,Basiszins!$B$5:$B$18))</f>
        <v/>
      </c>
      <c r="C1195">
        <f>IF(A1195="","",B1195+Rechner!$E$7)</f>
        <v/>
      </c>
      <c r="D1195">
        <f>J1194</f>
        <v/>
      </c>
      <c r="E1195">
        <f>IF(A1195="",0,D1195*C1195/100/(DATE(YEAR(A1195)+1,1,1)-DATE(YEAR(A1195),1,1)))</f>
        <v/>
      </c>
      <c r="F1195">
        <f>IF(A1195="",0,SUMIF(Rechner!$A$12:$A$21,A1195,Rechner!$B$12:$B$21))</f>
        <v/>
      </c>
      <c r="G1195">
        <f>H1194+E1195</f>
        <v/>
      </c>
      <c r="H1195">
        <f>G1195-MIN(F1195,G1195)</f>
        <v/>
      </c>
      <c r="I1195">
        <f>MIN(F1195-MIN(F1195,G1195),D1195)</f>
        <v/>
      </c>
      <c r="J1195">
        <f>D1195-I1195</f>
        <v/>
      </c>
      <c r="K1195">
        <f>F1195-MIN(F1195,G1195)-I1195</f>
        <v/>
      </c>
    </row>
    <row r="1196">
      <c r="A1196" s="21">
        <f>IF(Rechner!$E$4&lt;&gt;"ok","",IF(Rechner!$E$5+1194&lt;=Rechner!$B$6,Rechner!$E$5+1194,""))</f>
        <v/>
      </c>
      <c r="B1196">
        <f>IF(A1196="","",LOOKUP(A1196,Basiszins!$A$5:$A$18,Basiszins!$B$5:$B$18))</f>
        <v/>
      </c>
      <c r="C1196">
        <f>IF(A1196="","",B1196+Rechner!$E$7)</f>
        <v/>
      </c>
      <c r="D1196">
        <f>J1195</f>
        <v/>
      </c>
      <c r="E1196">
        <f>IF(A1196="",0,D1196*C1196/100/(DATE(YEAR(A1196)+1,1,1)-DATE(YEAR(A1196),1,1)))</f>
        <v/>
      </c>
      <c r="F1196">
        <f>IF(A1196="",0,SUMIF(Rechner!$A$12:$A$21,A1196,Rechner!$B$12:$B$21))</f>
        <v/>
      </c>
      <c r="G1196">
        <f>H1195+E1196</f>
        <v/>
      </c>
      <c r="H1196">
        <f>G1196-MIN(F1196,G1196)</f>
        <v/>
      </c>
      <c r="I1196">
        <f>MIN(F1196-MIN(F1196,G1196),D1196)</f>
        <v/>
      </c>
      <c r="J1196">
        <f>D1196-I1196</f>
        <v/>
      </c>
      <c r="K1196">
        <f>F1196-MIN(F1196,G1196)-I1196</f>
        <v/>
      </c>
    </row>
    <row r="1197">
      <c r="A1197" s="21">
        <f>IF(Rechner!$E$4&lt;&gt;"ok","",IF(Rechner!$E$5+1195&lt;=Rechner!$B$6,Rechner!$E$5+1195,""))</f>
        <v/>
      </c>
      <c r="B1197">
        <f>IF(A1197="","",LOOKUP(A1197,Basiszins!$A$5:$A$18,Basiszins!$B$5:$B$18))</f>
        <v/>
      </c>
      <c r="C1197">
        <f>IF(A1197="","",B1197+Rechner!$E$7)</f>
        <v/>
      </c>
      <c r="D1197">
        <f>J1196</f>
        <v/>
      </c>
      <c r="E1197">
        <f>IF(A1197="",0,D1197*C1197/100/(DATE(YEAR(A1197)+1,1,1)-DATE(YEAR(A1197),1,1)))</f>
        <v/>
      </c>
      <c r="F1197">
        <f>IF(A1197="",0,SUMIF(Rechner!$A$12:$A$21,A1197,Rechner!$B$12:$B$21))</f>
        <v/>
      </c>
      <c r="G1197">
        <f>H1196+E1197</f>
        <v/>
      </c>
      <c r="H1197">
        <f>G1197-MIN(F1197,G1197)</f>
        <v/>
      </c>
      <c r="I1197">
        <f>MIN(F1197-MIN(F1197,G1197),D1197)</f>
        <v/>
      </c>
      <c r="J1197">
        <f>D1197-I1197</f>
        <v/>
      </c>
      <c r="K1197">
        <f>F1197-MIN(F1197,G1197)-I1197</f>
        <v/>
      </c>
    </row>
    <row r="1198">
      <c r="A1198" s="21">
        <f>IF(Rechner!$E$4&lt;&gt;"ok","",IF(Rechner!$E$5+1196&lt;=Rechner!$B$6,Rechner!$E$5+1196,""))</f>
        <v/>
      </c>
      <c r="B1198">
        <f>IF(A1198="","",LOOKUP(A1198,Basiszins!$A$5:$A$18,Basiszins!$B$5:$B$18))</f>
        <v/>
      </c>
      <c r="C1198">
        <f>IF(A1198="","",B1198+Rechner!$E$7)</f>
        <v/>
      </c>
      <c r="D1198">
        <f>J1197</f>
        <v/>
      </c>
      <c r="E1198">
        <f>IF(A1198="",0,D1198*C1198/100/(DATE(YEAR(A1198)+1,1,1)-DATE(YEAR(A1198),1,1)))</f>
        <v/>
      </c>
      <c r="F1198">
        <f>IF(A1198="",0,SUMIF(Rechner!$A$12:$A$21,A1198,Rechner!$B$12:$B$21))</f>
        <v/>
      </c>
      <c r="G1198">
        <f>H1197+E1198</f>
        <v/>
      </c>
      <c r="H1198">
        <f>G1198-MIN(F1198,G1198)</f>
        <v/>
      </c>
      <c r="I1198">
        <f>MIN(F1198-MIN(F1198,G1198),D1198)</f>
        <v/>
      </c>
      <c r="J1198">
        <f>D1198-I1198</f>
        <v/>
      </c>
      <c r="K1198">
        <f>F1198-MIN(F1198,G1198)-I1198</f>
        <v/>
      </c>
    </row>
    <row r="1199">
      <c r="A1199" s="21">
        <f>IF(Rechner!$E$4&lt;&gt;"ok","",IF(Rechner!$E$5+1197&lt;=Rechner!$B$6,Rechner!$E$5+1197,""))</f>
        <v/>
      </c>
      <c r="B1199">
        <f>IF(A1199="","",LOOKUP(A1199,Basiszins!$A$5:$A$18,Basiszins!$B$5:$B$18))</f>
        <v/>
      </c>
      <c r="C1199">
        <f>IF(A1199="","",B1199+Rechner!$E$7)</f>
        <v/>
      </c>
      <c r="D1199">
        <f>J1198</f>
        <v/>
      </c>
      <c r="E1199">
        <f>IF(A1199="",0,D1199*C1199/100/(DATE(YEAR(A1199)+1,1,1)-DATE(YEAR(A1199),1,1)))</f>
        <v/>
      </c>
      <c r="F1199">
        <f>IF(A1199="",0,SUMIF(Rechner!$A$12:$A$21,A1199,Rechner!$B$12:$B$21))</f>
        <v/>
      </c>
      <c r="G1199">
        <f>H1198+E1199</f>
        <v/>
      </c>
      <c r="H1199">
        <f>G1199-MIN(F1199,G1199)</f>
        <v/>
      </c>
      <c r="I1199">
        <f>MIN(F1199-MIN(F1199,G1199),D1199)</f>
        <v/>
      </c>
      <c r="J1199">
        <f>D1199-I1199</f>
        <v/>
      </c>
      <c r="K1199">
        <f>F1199-MIN(F1199,G1199)-I1199</f>
        <v/>
      </c>
    </row>
    <row r="1200">
      <c r="A1200" s="21">
        <f>IF(Rechner!$E$4&lt;&gt;"ok","",IF(Rechner!$E$5+1198&lt;=Rechner!$B$6,Rechner!$E$5+1198,""))</f>
        <v/>
      </c>
      <c r="B1200">
        <f>IF(A1200="","",LOOKUP(A1200,Basiszins!$A$5:$A$18,Basiszins!$B$5:$B$18))</f>
        <v/>
      </c>
      <c r="C1200">
        <f>IF(A1200="","",B1200+Rechner!$E$7)</f>
        <v/>
      </c>
      <c r="D1200">
        <f>J1199</f>
        <v/>
      </c>
      <c r="E1200">
        <f>IF(A1200="",0,D1200*C1200/100/(DATE(YEAR(A1200)+1,1,1)-DATE(YEAR(A1200),1,1)))</f>
        <v/>
      </c>
      <c r="F1200">
        <f>IF(A1200="",0,SUMIF(Rechner!$A$12:$A$21,A1200,Rechner!$B$12:$B$21))</f>
        <v/>
      </c>
      <c r="G1200">
        <f>H1199+E1200</f>
        <v/>
      </c>
      <c r="H1200">
        <f>G1200-MIN(F1200,G1200)</f>
        <v/>
      </c>
      <c r="I1200">
        <f>MIN(F1200-MIN(F1200,G1200),D1200)</f>
        <v/>
      </c>
      <c r="J1200">
        <f>D1200-I1200</f>
        <v/>
      </c>
      <c r="K1200">
        <f>F1200-MIN(F1200,G1200)-I1200</f>
        <v/>
      </c>
    </row>
    <row r="1201">
      <c r="A1201" s="21">
        <f>IF(Rechner!$E$4&lt;&gt;"ok","",IF(Rechner!$E$5+1199&lt;=Rechner!$B$6,Rechner!$E$5+1199,""))</f>
        <v/>
      </c>
      <c r="B1201">
        <f>IF(A1201="","",LOOKUP(A1201,Basiszins!$A$5:$A$18,Basiszins!$B$5:$B$18))</f>
        <v/>
      </c>
      <c r="C1201">
        <f>IF(A1201="","",B1201+Rechner!$E$7)</f>
        <v/>
      </c>
      <c r="D1201">
        <f>J1200</f>
        <v/>
      </c>
      <c r="E1201">
        <f>IF(A1201="",0,D1201*C1201/100/(DATE(YEAR(A1201)+1,1,1)-DATE(YEAR(A1201),1,1)))</f>
        <v/>
      </c>
      <c r="F1201">
        <f>IF(A1201="",0,SUMIF(Rechner!$A$12:$A$21,A1201,Rechner!$B$12:$B$21))</f>
        <v/>
      </c>
      <c r="G1201">
        <f>H1200+E1201</f>
        <v/>
      </c>
      <c r="H1201">
        <f>G1201-MIN(F1201,G1201)</f>
        <v/>
      </c>
      <c r="I1201">
        <f>MIN(F1201-MIN(F1201,G1201),D1201)</f>
        <v/>
      </c>
      <c r="J1201">
        <f>D1201-I1201</f>
        <v/>
      </c>
      <c r="K1201">
        <f>F1201-MIN(F1201,G1201)-I1201</f>
        <v/>
      </c>
    </row>
    <row r="1202">
      <c r="A1202" s="21">
        <f>IF(Rechner!$E$4&lt;&gt;"ok","",IF(Rechner!$E$5+1200&lt;=Rechner!$B$6,Rechner!$E$5+1200,""))</f>
        <v/>
      </c>
      <c r="B1202">
        <f>IF(A1202="","",LOOKUP(A1202,Basiszins!$A$5:$A$18,Basiszins!$B$5:$B$18))</f>
        <v/>
      </c>
      <c r="C1202">
        <f>IF(A1202="","",B1202+Rechner!$E$7)</f>
        <v/>
      </c>
      <c r="D1202">
        <f>J1201</f>
        <v/>
      </c>
      <c r="E1202">
        <f>IF(A1202="",0,D1202*C1202/100/(DATE(YEAR(A1202)+1,1,1)-DATE(YEAR(A1202),1,1)))</f>
        <v/>
      </c>
      <c r="F1202">
        <f>IF(A1202="",0,SUMIF(Rechner!$A$12:$A$21,A1202,Rechner!$B$12:$B$21))</f>
        <v/>
      </c>
      <c r="G1202">
        <f>H1201+E1202</f>
        <v/>
      </c>
      <c r="H1202">
        <f>G1202-MIN(F1202,G1202)</f>
        <v/>
      </c>
      <c r="I1202">
        <f>MIN(F1202-MIN(F1202,G1202),D1202)</f>
        <v/>
      </c>
      <c r="J1202">
        <f>D1202-I1202</f>
        <v/>
      </c>
      <c r="K1202">
        <f>F1202-MIN(F1202,G1202)-I1202</f>
        <v/>
      </c>
    </row>
    <row r="1203">
      <c r="A1203" s="21">
        <f>IF(Rechner!$E$4&lt;&gt;"ok","",IF(Rechner!$E$5+1201&lt;=Rechner!$B$6,Rechner!$E$5+1201,""))</f>
        <v/>
      </c>
      <c r="B1203">
        <f>IF(A1203="","",LOOKUP(A1203,Basiszins!$A$5:$A$18,Basiszins!$B$5:$B$18))</f>
        <v/>
      </c>
      <c r="C1203">
        <f>IF(A1203="","",B1203+Rechner!$E$7)</f>
        <v/>
      </c>
      <c r="D1203">
        <f>J1202</f>
        <v/>
      </c>
      <c r="E1203">
        <f>IF(A1203="",0,D1203*C1203/100/(DATE(YEAR(A1203)+1,1,1)-DATE(YEAR(A1203),1,1)))</f>
        <v/>
      </c>
      <c r="F1203">
        <f>IF(A1203="",0,SUMIF(Rechner!$A$12:$A$21,A1203,Rechner!$B$12:$B$21))</f>
        <v/>
      </c>
      <c r="G1203">
        <f>H1202+E1203</f>
        <v/>
      </c>
      <c r="H1203">
        <f>G1203-MIN(F1203,G1203)</f>
        <v/>
      </c>
      <c r="I1203">
        <f>MIN(F1203-MIN(F1203,G1203),D1203)</f>
        <v/>
      </c>
      <c r="J1203">
        <f>D1203-I1203</f>
        <v/>
      </c>
      <c r="K1203">
        <f>F1203-MIN(F1203,G1203)-I1203</f>
        <v/>
      </c>
    </row>
    <row r="1204">
      <c r="A1204" s="21">
        <f>IF(Rechner!$E$4&lt;&gt;"ok","",IF(Rechner!$E$5+1202&lt;=Rechner!$B$6,Rechner!$E$5+1202,""))</f>
        <v/>
      </c>
      <c r="B1204">
        <f>IF(A1204="","",LOOKUP(A1204,Basiszins!$A$5:$A$18,Basiszins!$B$5:$B$18))</f>
        <v/>
      </c>
      <c r="C1204">
        <f>IF(A1204="","",B1204+Rechner!$E$7)</f>
        <v/>
      </c>
      <c r="D1204">
        <f>J1203</f>
        <v/>
      </c>
      <c r="E1204">
        <f>IF(A1204="",0,D1204*C1204/100/(DATE(YEAR(A1204)+1,1,1)-DATE(YEAR(A1204),1,1)))</f>
        <v/>
      </c>
      <c r="F1204">
        <f>IF(A1204="",0,SUMIF(Rechner!$A$12:$A$21,A1204,Rechner!$B$12:$B$21))</f>
        <v/>
      </c>
      <c r="G1204">
        <f>H1203+E1204</f>
        <v/>
      </c>
      <c r="H1204">
        <f>G1204-MIN(F1204,G1204)</f>
        <v/>
      </c>
      <c r="I1204">
        <f>MIN(F1204-MIN(F1204,G1204),D1204)</f>
        <v/>
      </c>
      <c r="J1204">
        <f>D1204-I1204</f>
        <v/>
      </c>
      <c r="K1204">
        <f>F1204-MIN(F1204,G1204)-I1204</f>
        <v/>
      </c>
    </row>
    <row r="1205">
      <c r="A1205" s="21">
        <f>IF(Rechner!$E$4&lt;&gt;"ok","",IF(Rechner!$E$5+1203&lt;=Rechner!$B$6,Rechner!$E$5+1203,""))</f>
        <v/>
      </c>
      <c r="B1205">
        <f>IF(A1205="","",LOOKUP(A1205,Basiszins!$A$5:$A$18,Basiszins!$B$5:$B$18))</f>
        <v/>
      </c>
      <c r="C1205">
        <f>IF(A1205="","",B1205+Rechner!$E$7)</f>
        <v/>
      </c>
      <c r="D1205">
        <f>J1204</f>
        <v/>
      </c>
      <c r="E1205">
        <f>IF(A1205="",0,D1205*C1205/100/(DATE(YEAR(A1205)+1,1,1)-DATE(YEAR(A1205),1,1)))</f>
        <v/>
      </c>
      <c r="F1205">
        <f>IF(A1205="",0,SUMIF(Rechner!$A$12:$A$21,A1205,Rechner!$B$12:$B$21))</f>
        <v/>
      </c>
      <c r="G1205">
        <f>H1204+E1205</f>
        <v/>
      </c>
      <c r="H1205">
        <f>G1205-MIN(F1205,G1205)</f>
        <v/>
      </c>
      <c r="I1205">
        <f>MIN(F1205-MIN(F1205,G1205),D1205)</f>
        <v/>
      </c>
      <c r="J1205">
        <f>D1205-I1205</f>
        <v/>
      </c>
      <c r="K1205">
        <f>F1205-MIN(F1205,G1205)-I1205</f>
        <v/>
      </c>
    </row>
    <row r="1206">
      <c r="A1206" s="21">
        <f>IF(Rechner!$E$4&lt;&gt;"ok","",IF(Rechner!$E$5+1204&lt;=Rechner!$B$6,Rechner!$E$5+1204,""))</f>
        <v/>
      </c>
      <c r="B1206">
        <f>IF(A1206="","",LOOKUP(A1206,Basiszins!$A$5:$A$18,Basiszins!$B$5:$B$18))</f>
        <v/>
      </c>
      <c r="C1206">
        <f>IF(A1206="","",B1206+Rechner!$E$7)</f>
        <v/>
      </c>
      <c r="D1206">
        <f>J1205</f>
        <v/>
      </c>
      <c r="E1206">
        <f>IF(A1206="",0,D1206*C1206/100/(DATE(YEAR(A1206)+1,1,1)-DATE(YEAR(A1206),1,1)))</f>
        <v/>
      </c>
      <c r="F1206">
        <f>IF(A1206="",0,SUMIF(Rechner!$A$12:$A$21,A1206,Rechner!$B$12:$B$21))</f>
        <v/>
      </c>
      <c r="G1206">
        <f>H1205+E1206</f>
        <v/>
      </c>
      <c r="H1206">
        <f>G1206-MIN(F1206,G1206)</f>
        <v/>
      </c>
      <c r="I1206">
        <f>MIN(F1206-MIN(F1206,G1206),D1206)</f>
        <v/>
      </c>
      <c r="J1206">
        <f>D1206-I1206</f>
        <v/>
      </c>
      <c r="K1206">
        <f>F1206-MIN(F1206,G1206)-I1206</f>
        <v/>
      </c>
    </row>
    <row r="1207">
      <c r="A1207" s="21">
        <f>IF(Rechner!$E$4&lt;&gt;"ok","",IF(Rechner!$E$5+1205&lt;=Rechner!$B$6,Rechner!$E$5+1205,""))</f>
        <v/>
      </c>
      <c r="B1207">
        <f>IF(A1207="","",LOOKUP(A1207,Basiszins!$A$5:$A$18,Basiszins!$B$5:$B$18))</f>
        <v/>
      </c>
      <c r="C1207">
        <f>IF(A1207="","",B1207+Rechner!$E$7)</f>
        <v/>
      </c>
      <c r="D1207">
        <f>J1206</f>
        <v/>
      </c>
      <c r="E1207">
        <f>IF(A1207="",0,D1207*C1207/100/(DATE(YEAR(A1207)+1,1,1)-DATE(YEAR(A1207),1,1)))</f>
        <v/>
      </c>
      <c r="F1207">
        <f>IF(A1207="",0,SUMIF(Rechner!$A$12:$A$21,A1207,Rechner!$B$12:$B$21))</f>
        <v/>
      </c>
      <c r="G1207">
        <f>H1206+E1207</f>
        <v/>
      </c>
      <c r="H1207">
        <f>G1207-MIN(F1207,G1207)</f>
        <v/>
      </c>
      <c r="I1207">
        <f>MIN(F1207-MIN(F1207,G1207),D1207)</f>
        <v/>
      </c>
      <c r="J1207">
        <f>D1207-I1207</f>
        <v/>
      </c>
      <c r="K1207">
        <f>F1207-MIN(F1207,G1207)-I1207</f>
        <v/>
      </c>
    </row>
    <row r="1208">
      <c r="A1208" s="21">
        <f>IF(Rechner!$E$4&lt;&gt;"ok","",IF(Rechner!$E$5+1206&lt;=Rechner!$B$6,Rechner!$E$5+1206,""))</f>
        <v/>
      </c>
      <c r="B1208">
        <f>IF(A1208="","",LOOKUP(A1208,Basiszins!$A$5:$A$18,Basiszins!$B$5:$B$18))</f>
        <v/>
      </c>
      <c r="C1208">
        <f>IF(A1208="","",B1208+Rechner!$E$7)</f>
        <v/>
      </c>
      <c r="D1208">
        <f>J1207</f>
        <v/>
      </c>
      <c r="E1208">
        <f>IF(A1208="",0,D1208*C1208/100/(DATE(YEAR(A1208)+1,1,1)-DATE(YEAR(A1208),1,1)))</f>
        <v/>
      </c>
      <c r="F1208">
        <f>IF(A1208="",0,SUMIF(Rechner!$A$12:$A$21,A1208,Rechner!$B$12:$B$21))</f>
        <v/>
      </c>
      <c r="G1208">
        <f>H1207+E1208</f>
        <v/>
      </c>
      <c r="H1208">
        <f>G1208-MIN(F1208,G1208)</f>
        <v/>
      </c>
      <c r="I1208">
        <f>MIN(F1208-MIN(F1208,G1208),D1208)</f>
        <v/>
      </c>
      <c r="J1208">
        <f>D1208-I1208</f>
        <v/>
      </c>
      <c r="K1208">
        <f>F1208-MIN(F1208,G1208)-I1208</f>
        <v/>
      </c>
    </row>
    <row r="1209">
      <c r="A1209" s="21">
        <f>IF(Rechner!$E$4&lt;&gt;"ok","",IF(Rechner!$E$5+1207&lt;=Rechner!$B$6,Rechner!$E$5+1207,""))</f>
        <v/>
      </c>
      <c r="B1209">
        <f>IF(A1209="","",LOOKUP(A1209,Basiszins!$A$5:$A$18,Basiszins!$B$5:$B$18))</f>
        <v/>
      </c>
      <c r="C1209">
        <f>IF(A1209="","",B1209+Rechner!$E$7)</f>
        <v/>
      </c>
      <c r="D1209">
        <f>J1208</f>
        <v/>
      </c>
      <c r="E1209">
        <f>IF(A1209="",0,D1209*C1209/100/(DATE(YEAR(A1209)+1,1,1)-DATE(YEAR(A1209),1,1)))</f>
        <v/>
      </c>
      <c r="F1209">
        <f>IF(A1209="",0,SUMIF(Rechner!$A$12:$A$21,A1209,Rechner!$B$12:$B$21))</f>
        <v/>
      </c>
      <c r="G1209">
        <f>H1208+E1209</f>
        <v/>
      </c>
      <c r="H1209">
        <f>G1209-MIN(F1209,G1209)</f>
        <v/>
      </c>
      <c r="I1209">
        <f>MIN(F1209-MIN(F1209,G1209),D1209)</f>
        <v/>
      </c>
      <c r="J1209">
        <f>D1209-I1209</f>
        <v/>
      </c>
      <c r="K1209">
        <f>F1209-MIN(F1209,G1209)-I1209</f>
        <v/>
      </c>
    </row>
    <row r="1210">
      <c r="A1210" s="21">
        <f>IF(Rechner!$E$4&lt;&gt;"ok","",IF(Rechner!$E$5+1208&lt;=Rechner!$B$6,Rechner!$E$5+1208,""))</f>
        <v/>
      </c>
      <c r="B1210">
        <f>IF(A1210="","",LOOKUP(A1210,Basiszins!$A$5:$A$18,Basiszins!$B$5:$B$18))</f>
        <v/>
      </c>
      <c r="C1210">
        <f>IF(A1210="","",B1210+Rechner!$E$7)</f>
        <v/>
      </c>
      <c r="D1210">
        <f>J1209</f>
        <v/>
      </c>
      <c r="E1210">
        <f>IF(A1210="",0,D1210*C1210/100/(DATE(YEAR(A1210)+1,1,1)-DATE(YEAR(A1210),1,1)))</f>
        <v/>
      </c>
      <c r="F1210">
        <f>IF(A1210="",0,SUMIF(Rechner!$A$12:$A$21,A1210,Rechner!$B$12:$B$21))</f>
        <v/>
      </c>
      <c r="G1210">
        <f>H1209+E1210</f>
        <v/>
      </c>
      <c r="H1210">
        <f>G1210-MIN(F1210,G1210)</f>
        <v/>
      </c>
      <c r="I1210">
        <f>MIN(F1210-MIN(F1210,G1210),D1210)</f>
        <v/>
      </c>
      <c r="J1210">
        <f>D1210-I1210</f>
        <v/>
      </c>
      <c r="K1210">
        <f>F1210-MIN(F1210,G1210)-I1210</f>
        <v/>
      </c>
    </row>
    <row r="1211">
      <c r="A1211" s="21">
        <f>IF(Rechner!$E$4&lt;&gt;"ok","",IF(Rechner!$E$5+1209&lt;=Rechner!$B$6,Rechner!$E$5+1209,""))</f>
        <v/>
      </c>
      <c r="B1211">
        <f>IF(A1211="","",LOOKUP(A1211,Basiszins!$A$5:$A$18,Basiszins!$B$5:$B$18))</f>
        <v/>
      </c>
      <c r="C1211">
        <f>IF(A1211="","",B1211+Rechner!$E$7)</f>
        <v/>
      </c>
      <c r="D1211">
        <f>J1210</f>
        <v/>
      </c>
      <c r="E1211">
        <f>IF(A1211="",0,D1211*C1211/100/(DATE(YEAR(A1211)+1,1,1)-DATE(YEAR(A1211),1,1)))</f>
        <v/>
      </c>
      <c r="F1211">
        <f>IF(A1211="",0,SUMIF(Rechner!$A$12:$A$21,A1211,Rechner!$B$12:$B$21))</f>
        <v/>
      </c>
      <c r="G1211">
        <f>H1210+E1211</f>
        <v/>
      </c>
      <c r="H1211">
        <f>G1211-MIN(F1211,G1211)</f>
        <v/>
      </c>
      <c r="I1211">
        <f>MIN(F1211-MIN(F1211,G1211),D1211)</f>
        <v/>
      </c>
      <c r="J1211">
        <f>D1211-I1211</f>
        <v/>
      </c>
      <c r="K1211">
        <f>F1211-MIN(F1211,G1211)-I1211</f>
        <v/>
      </c>
    </row>
    <row r="1212">
      <c r="A1212" s="21">
        <f>IF(Rechner!$E$4&lt;&gt;"ok","",IF(Rechner!$E$5+1210&lt;=Rechner!$B$6,Rechner!$E$5+1210,""))</f>
        <v/>
      </c>
      <c r="B1212">
        <f>IF(A1212="","",LOOKUP(A1212,Basiszins!$A$5:$A$18,Basiszins!$B$5:$B$18))</f>
        <v/>
      </c>
      <c r="C1212">
        <f>IF(A1212="","",B1212+Rechner!$E$7)</f>
        <v/>
      </c>
      <c r="D1212">
        <f>J1211</f>
        <v/>
      </c>
      <c r="E1212">
        <f>IF(A1212="",0,D1212*C1212/100/(DATE(YEAR(A1212)+1,1,1)-DATE(YEAR(A1212),1,1)))</f>
        <v/>
      </c>
      <c r="F1212">
        <f>IF(A1212="",0,SUMIF(Rechner!$A$12:$A$21,A1212,Rechner!$B$12:$B$21))</f>
        <v/>
      </c>
      <c r="G1212">
        <f>H1211+E1212</f>
        <v/>
      </c>
      <c r="H1212">
        <f>G1212-MIN(F1212,G1212)</f>
        <v/>
      </c>
      <c r="I1212">
        <f>MIN(F1212-MIN(F1212,G1212),D1212)</f>
        <v/>
      </c>
      <c r="J1212">
        <f>D1212-I1212</f>
        <v/>
      </c>
      <c r="K1212">
        <f>F1212-MIN(F1212,G1212)-I1212</f>
        <v/>
      </c>
    </row>
    <row r="1213">
      <c r="A1213" s="21">
        <f>IF(Rechner!$E$4&lt;&gt;"ok","",IF(Rechner!$E$5+1211&lt;=Rechner!$B$6,Rechner!$E$5+1211,""))</f>
        <v/>
      </c>
      <c r="B1213">
        <f>IF(A1213="","",LOOKUP(A1213,Basiszins!$A$5:$A$18,Basiszins!$B$5:$B$18))</f>
        <v/>
      </c>
      <c r="C1213">
        <f>IF(A1213="","",B1213+Rechner!$E$7)</f>
        <v/>
      </c>
      <c r="D1213">
        <f>J1212</f>
        <v/>
      </c>
      <c r="E1213">
        <f>IF(A1213="",0,D1213*C1213/100/(DATE(YEAR(A1213)+1,1,1)-DATE(YEAR(A1213),1,1)))</f>
        <v/>
      </c>
      <c r="F1213">
        <f>IF(A1213="",0,SUMIF(Rechner!$A$12:$A$21,A1213,Rechner!$B$12:$B$21))</f>
        <v/>
      </c>
      <c r="G1213">
        <f>H1212+E1213</f>
        <v/>
      </c>
      <c r="H1213">
        <f>G1213-MIN(F1213,G1213)</f>
        <v/>
      </c>
      <c r="I1213">
        <f>MIN(F1213-MIN(F1213,G1213),D1213)</f>
        <v/>
      </c>
      <c r="J1213">
        <f>D1213-I1213</f>
        <v/>
      </c>
      <c r="K1213">
        <f>F1213-MIN(F1213,G1213)-I1213</f>
        <v/>
      </c>
    </row>
    <row r="1214">
      <c r="A1214" s="21">
        <f>IF(Rechner!$E$4&lt;&gt;"ok","",IF(Rechner!$E$5+1212&lt;=Rechner!$B$6,Rechner!$E$5+1212,""))</f>
        <v/>
      </c>
      <c r="B1214">
        <f>IF(A1214="","",LOOKUP(A1214,Basiszins!$A$5:$A$18,Basiszins!$B$5:$B$18))</f>
        <v/>
      </c>
      <c r="C1214">
        <f>IF(A1214="","",B1214+Rechner!$E$7)</f>
        <v/>
      </c>
      <c r="D1214">
        <f>J1213</f>
        <v/>
      </c>
      <c r="E1214">
        <f>IF(A1214="",0,D1214*C1214/100/(DATE(YEAR(A1214)+1,1,1)-DATE(YEAR(A1214),1,1)))</f>
        <v/>
      </c>
      <c r="F1214">
        <f>IF(A1214="",0,SUMIF(Rechner!$A$12:$A$21,A1214,Rechner!$B$12:$B$21))</f>
        <v/>
      </c>
      <c r="G1214">
        <f>H1213+E1214</f>
        <v/>
      </c>
      <c r="H1214">
        <f>G1214-MIN(F1214,G1214)</f>
        <v/>
      </c>
      <c r="I1214">
        <f>MIN(F1214-MIN(F1214,G1214),D1214)</f>
        <v/>
      </c>
      <c r="J1214">
        <f>D1214-I1214</f>
        <v/>
      </c>
      <c r="K1214">
        <f>F1214-MIN(F1214,G1214)-I1214</f>
        <v/>
      </c>
    </row>
    <row r="1215">
      <c r="A1215" s="21">
        <f>IF(Rechner!$E$4&lt;&gt;"ok","",IF(Rechner!$E$5+1213&lt;=Rechner!$B$6,Rechner!$E$5+1213,""))</f>
        <v/>
      </c>
      <c r="B1215">
        <f>IF(A1215="","",LOOKUP(A1215,Basiszins!$A$5:$A$18,Basiszins!$B$5:$B$18))</f>
        <v/>
      </c>
      <c r="C1215">
        <f>IF(A1215="","",B1215+Rechner!$E$7)</f>
        <v/>
      </c>
      <c r="D1215">
        <f>J1214</f>
        <v/>
      </c>
      <c r="E1215">
        <f>IF(A1215="",0,D1215*C1215/100/(DATE(YEAR(A1215)+1,1,1)-DATE(YEAR(A1215),1,1)))</f>
        <v/>
      </c>
      <c r="F1215">
        <f>IF(A1215="",0,SUMIF(Rechner!$A$12:$A$21,A1215,Rechner!$B$12:$B$21))</f>
        <v/>
      </c>
      <c r="G1215">
        <f>H1214+E1215</f>
        <v/>
      </c>
      <c r="H1215">
        <f>G1215-MIN(F1215,G1215)</f>
        <v/>
      </c>
      <c r="I1215">
        <f>MIN(F1215-MIN(F1215,G1215),D1215)</f>
        <v/>
      </c>
      <c r="J1215">
        <f>D1215-I1215</f>
        <v/>
      </c>
      <c r="K1215">
        <f>F1215-MIN(F1215,G1215)-I1215</f>
        <v/>
      </c>
    </row>
    <row r="1216">
      <c r="A1216" s="21">
        <f>IF(Rechner!$E$4&lt;&gt;"ok","",IF(Rechner!$E$5+1214&lt;=Rechner!$B$6,Rechner!$E$5+1214,""))</f>
        <v/>
      </c>
      <c r="B1216">
        <f>IF(A1216="","",LOOKUP(A1216,Basiszins!$A$5:$A$18,Basiszins!$B$5:$B$18))</f>
        <v/>
      </c>
      <c r="C1216">
        <f>IF(A1216="","",B1216+Rechner!$E$7)</f>
        <v/>
      </c>
      <c r="D1216">
        <f>J1215</f>
        <v/>
      </c>
      <c r="E1216">
        <f>IF(A1216="",0,D1216*C1216/100/(DATE(YEAR(A1216)+1,1,1)-DATE(YEAR(A1216),1,1)))</f>
        <v/>
      </c>
      <c r="F1216">
        <f>IF(A1216="",0,SUMIF(Rechner!$A$12:$A$21,A1216,Rechner!$B$12:$B$21))</f>
        <v/>
      </c>
      <c r="G1216">
        <f>H1215+E1216</f>
        <v/>
      </c>
      <c r="H1216">
        <f>G1216-MIN(F1216,G1216)</f>
        <v/>
      </c>
      <c r="I1216">
        <f>MIN(F1216-MIN(F1216,G1216),D1216)</f>
        <v/>
      </c>
      <c r="J1216">
        <f>D1216-I1216</f>
        <v/>
      </c>
      <c r="K1216">
        <f>F1216-MIN(F1216,G1216)-I1216</f>
        <v/>
      </c>
    </row>
    <row r="1217">
      <c r="A1217" s="21">
        <f>IF(Rechner!$E$4&lt;&gt;"ok","",IF(Rechner!$E$5+1215&lt;=Rechner!$B$6,Rechner!$E$5+1215,""))</f>
        <v/>
      </c>
      <c r="B1217">
        <f>IF(A1217="","",LOOKUP(A1217,Basiszins!$A$5:$A$18,Basiszins!$B$5:$B$18))</f>
        <v/>
      </c>
      <c r="C1217">
        <f>IF(A1217="","",B1217+Rechner!$E$7)</f>
        <v/>
      </c>
      <c r="D1217">
        <f>J1216</f>
        <v/>
      </c>
      <c r="E1217">
        <f>IF(A1217="",0,D1217*C1217/100/(DATE(YEAR(A1217)+1,1,1)-DATE(YEAR(A1217),1,1)))</f>
        <v/>
      </c>
      <c r="F1217">
        <f>IF(A1217="",0,SUMIF(Rechner!$A$12:$A$21,A1217,Rechner!$B$12:$B$21))</f>
        <v/>
      </c>
      <c r="G1217">
        <f>H1216+E1217</f>
        <v/>
      </c>
      <c r="H1217">
        <f>G1217-MIN(F1217,G1217)</f>
        <v/>
      </c>
      <c r="I1217">
        <f>MIN(F1217-MIN(F1217,G1217),D1217)</f>
        <v/>
      </c>
      <c r="J1217">
        <f>D1217-I1217</f>
        <v/>
      </c>
      <c r="K1217">
        <f>F1217-MIN(F1217,G1217)-I1217</f>
        <v/>
      </c>
    </row>
    <row r="1218">
      <c r="A1218" s="21">
        <f>IF(Rechner!$E$4&lt;&gt;"ok","",IF(Rechner!$E$5+1216&lt;=Rechner!$B$6,Rechner!$E$5+1216,""))</f>
        <v/>
      </c>
      <c r="B1218">
        <f>IF(A1218="","",LOOKUP(A1218,Basiszins!$A$5:$A$18,Basiszins!$B$5:$B$18))</f>
        <v/>
      </c>
      <c r="C1218">
        <f>IF(A1218="","",B1218+Rechner!$E$7)</f>
        <v/>
      </c>
      <c r="D1218">
        <f>J1217</f>
        <v/>
      </c>
      <c r="E1218">
        <f>IF(A1218="",0,D1218*C1218/100/(DATE(YEAR(A1218)+1,1,1)-DATE(YEAR(A1218),1,1)))</f>
        <v/>
      </c>
      <c r="F1218">
        <f>IF(A1218="",0,SUMIF(Rechner!$A$12:$A$21,A1218,Rechner!$B$12:$B$21))</f>
        <v/>
      </c>
      <c r="G1218">
        <f>H1217+E1218</f>
        <v/>
      </c>
      <c r="H1218">
        <f>G1218-MIN(F1218,G1218)</f>
        <v/>
      </c>
      <c r="I1218">
        <f>MIN(F1218-MIN(F1218,G1218),D1218)</f>
        <v/>
      </c>
      <c r="J1218">
        <f>D1218-I1218</f>
        <v/>
      </c>
      <c r="K1218">
        <f>F1218-MIN(F1218,G1218)-I1218</f>
        <v/>
      </c>
    </row>
    <row r="1219">
      <c r="A1219" s="21">
        <f>IF(Rechner!$E$4&lt;&gt;"ok","",IF(Rechner!$E$5+1217&lt;=Rechner!$B$6,Rechner!$E$5+1217,""))</f>
        <v/>
      </c>
      <c r="B1219">
        <f>IF(A1219="","",LOOKUP(A1219,Basiszins!$A$5:$A$18,Basiszins!$B$5:$B$18))</f>
        <v/>
      </c>
      <c r="C1219">
        <f>IF(A1219="","",B1219+Rechner!$E$7)</f>
        <v/>
      </c>
      <c r="D1219">
        <f>J1218</f>
        <v/>
      </c>
      <c r="E1219">
        <f>IF(A1219="",0,D1219*C1219/100/(DATE(YEAR(A1219)+1,1,1)-DATE(YEAR(A1219),1,1)))</f>
        <v/>
      </c>
      <c r="F1219">
        <f>IF(A1219="",0,SUMIF(Rechner!$A$12:$A$21,A1219,Rechner!$B$12:$B$21))</f>
        <v/>
      </c>
      <c r="G1219">
        <f>H1218+E1219</f>
        <v/>
      </c>
      <c r="H1219">
        <f>G1219-MIN(F1219,G1219)</f>
        <v/>
      </c>
      <c r="I1219">
        <f>MIN(F1219-MIN(F1219,G1219),D1219)</f>
        <v/>
      </c>
      <c r="J1219">
        <f>D1219-I1219</f>
        <v/>
      </c>
      <c r="K1219">
        <f>F1219-MIN(F1219,G1219)-I1219</f>
        <v/>
      </c>
    </row>
    <row r="1220">
      <c r="A1220" s="21">
        <f>IF(Rechner!$E$4&lt;&gt;"ok","",IF(Rechner!$E$5+1218&lt;=Rechner!$B$6,Rechner!$E$5+1218,""))</f>
        <v/>
      </c>
      <c r="B1220">
        <f>IF(A1220="","",LOOKUP(A1220,Basiszins!$A$5:$A$18,Basiszins!$B$5:$B$18))</f>
        <v/>
      </c>
      <c r="C1220">
        <f>IF(A1220="","",B1220+Rechner!$E$7)</f>
        <v/>
      </c>
      <c r="D1220">
        <f>J1219</f>
        <v/>
      </c>
      <c r="E1220">
        <f>IF(A1220="",0,D1220*C1220/100/(DATE(YEAR(A1220)+1,1,1)-DATE(YEAR(A1220),1,1)))</f>
        <v/>
      </c>
      <c r="F1220">
        <f>IF(A1220="",0,SUMIF(Rechner!$A$12:$A$21,A1220,Rechner!$B$12:$B$21))</f>
        <v/>
      </c>
      <c r="G1220">
        <f>H1219+E1220</f>
        <v/>
      </c>
      <c r="H1220">
        <f>G1220-MIN(F1220,G1220)</f>
        <v/>
      </c>
      <c r="I1220">
        <f>MIN(F1220-MIN(F1220,G1220),D1220)</f>
        <v/>
      </c>
      <c r="J1220">
        <f>D1220-I1220</f>
        <v/>
      </c>
      <c r="K1220">
        <f>F1220-MIN(F1220,G1220)-I1220</f>
        <v/>
      </c>
    </row>
    <row r="1221">
      <c r="A1221" s="21">
        <f>IF(Rechner!$E$4&lt;&gt;"ok","",IF(Rechner!$E$5+1219&lt;=Rechner!$B$6,Rechner!$E$5+1219,""))</f>
        <v/>
      </c>
      <c r="B1221">
        <f>IF(A1221="","",LOOKUP(A1221,Basiszins!$A$5:$A$18,Basiszins!$B$5:$B$18))</f>
        <v/>
      </c>
      <c r="C1221">
        <f>IF(A1221="","",B1221+Rechner!$E$7)</f>
        <v/>
      </c>
      <c r="D1221">
        <f>J1220</f>
        <v/>
      </c>
      <c r="E1221">
        <f>IF(A1221="",0,D1221*C1221/100/(DATE(YEAR(A1221)+1,1,1)-DATE(YEAR(A1221),1,1)))</f>
        <v/>
      </c>
      <c r="F1221">
        <f>IF(A1221="",0,SUMIF(Rechner!$A$12:$A$21,A1221,Rechner!$B$12:$B$21))</f>
        <v/>
      </c>
      <c r="G1221">
        <f>H1220+E1221</f>
        <v/>
      </c>
      <c r="H1221">
        <f>G1221-MIN(F1221,G1221)</f>
        <v/>
      </c>
      <c r="I1221">
        <f>MIN(F1221-MIN(F1221,G1221),D1221)</f>
        <v/>
      </c>
      <c r="J1221">
        <f>D1221-I1221</f>
        <v/>
      </c>
      <c r="K1221">
        <f>F1221-MIN(F1221,G1221)-I1221</f>
        <v/>
      </c>
    </row>
    <row r="1222">
      <c r="A1222" s="21">
        <f>IF(Rechner!$E$4&lt;&gt;"ok","",IF(Rechner!$E$5+1220&lt;=Rechner!$B$6,Rechner!$E$5+1220,""))</f>
        <v/>
      </c>
      <c r="B1222">
        <f>IF(A1222="","",LOOKUP(A1222,Basiszins!$A$5:$A$18,Basiszins!$B$5:$B$18))</f>
        <v/>
      </c>
      <c r="C1222">
        <f>IF(A1222="","",B1222+Rechner!$E$7)</f>
        <v/>
      </c>
      <c r="D1222">
        <f>J1221</f>
        <v/>
      </c>
      <c r="E1222">
        <f>IF(A1222="",0,D1222*C1222/100/(DATE(YEAR(A1222)+1,1,1)-DATE(YEAR(A1222),1,1)))</f>
        <v/>
      </c>
      <c r="F1222">
        <f>IF(A1222="",0,SUMIF(Rechner!$A$12:$A$21,A1222,Rechner!$B$12:$B$21))</f>
        <v/>
      </c>
      <c r="G1222">
        <f>H1221+E1222</f>
        <v/>
      </c>
      <c r="H1222">
        <f>G1222-MIN(F1222,G1222)</f>
        <v/>
      </c>
      <c r="I1222">
        <f>MIN(F1222-MIN(F1222,G1222),D1222)</f>
        <v/>
      </c>
      <c r="J1222">
        <f>D1222-I1222</f>
        <v/>
      </c>
      <c r="K1222">
        <f>F1222-MIN(F1222,G1222)-I1222</f>
        <v/>
      </c>
    </row>
    <row r="1223">
      <c r="A1223" s="21">
        <f>IF(Rechner!$E$4&lt;&gt;"ok","",IF(Rechner!$E$5+1221&lt;=Rechner!$B$6,Rechner!$E$5+1221,""))</f>
        <v/>
      </c>
      <c r="B1223">
        <f>IF(A1223="","",LOOKUP(A1223,Basiszins!$A$5:$A$18,Basiszins!$B$5:$B$18))</f>
        <v/>
      </c>
      <c r="C1223">
        <f>IF(A1223="","",B1223+Rechner!$E$7)</f>
        <v/>
      </c>
      <c r="D1223">
        <f>J1222</f>
        <v/>
      </c>
      <c r="E1223">
        <f>IF(A1223="",0,D1223*C1223/100/(DATE(YEAR(A1223)+1,1,1)-DATE(YEAR(A1223),1,1)))</f>
        <v/>
      </c>
      <c r="F1223">
        <f>IF(A1223="",0,SUMIF(Rechner!$A$12:$A$21,A1223,Rechner!$B$12:$B$21))</f>
        <v/>
      </c>
      <c r="G1223">
        <f>H1222+E1223</f>
        <v/>
      </c>
      <c r="H1223">
        <f>G1223-MIN(F1223,G1223)</f>
        <v/>
      </c>
      <c r="I1223">
        <f>MIN(F1223-MIN(F1223,G1223),D1223)</f>
        <v/>
      </c>
      <c r="J1223">
        <f>D1223-I1223</f>
        <v/>
      </c>
      <c r="K1223">
        <f>F1223-MIN(F1223,G1223)-I1223</f>
        <v/>
      </c>
    </row>
    <row r="1224">
      <c r="A1224" s="21">
        <f>IF(Rechner!$E$4&lt;&gt;"ok","",IF(Rechner!$E$5+1222&lt;=Rechner!$B$6,Rechner!$E$5+1222,""))</f>
        <v/>
      </c>
      <c r="B1224">
        <f>IF(A1224="","",LOOKUP(A1224,Basiszins!$A$5:$A$18,Basiszins!$B$5:$B$18))</f>
        <v/>
      </c>
      <c r="C1224">
        <f>IF(A1224="","",B1224+Rechner!$E$7)</f>
        <v/>
      </c>
      <c r="D1224">
        <f>J1223</f>
        <v/>
      </c>
      <c r="E1224">
        <f>IF(A1224="",0,D1224*C1224/100/(DATE(YEAR(A1224)+1,1,1)-DATE(YEAR(A1224),1,1)))</f>
        <v/>
      </c>
      <c r="F1224">
        <f>IF(A1224="",0,SUMIF(Rechner!$A$12:$A$21,A1224,Rechner!$B$12:$B$21))</f>
        <v/>
      </c>
      <c r="G1224">
        <f>H1223+E1224</f>
        <v/>
      </c>
      <c r="H1224">
        <f>G1224-MIN(F1224,G1224)</f>
        <v/>
      </c>
      <c r="I1224">
        <f>MIN(F1224-MIN(F1224,G1224),D1224)</f>
        <v/>
      </c>
      <c r="J1224">
        <f>D1224-I1224</f>
        <v/>
      </c>
      <c r="K1224">
        <f>F1224-MIN(F1224,G1224)-I1224</f>
        <v/>
      </c>
    </row>
    <row r="1225">
      <c r="A1225" s="21">
        <f>IF(Rechner!$E$4&lt;&gt;"ok","",IF(Rechner!$E$5+1223&lt;=Rechner!$B$6,Rechner!$E$5+1223,""))</f>
        <v/>
      </c>
      <c r="B1225">
        <f>IF(A1225="","",LOOKUP(A1225,Basiszins!$A$5:$A$18,Basiszins!$B$5:$B$18))</f>
        <v/>
      </c>
      <c r="C1225">
        <f>IF(A1225="","",B1225+Rechner!$E$7)</f>
        <v/>
      </c>
      <c r="D1225">
        <f>J1224</f>
        <v/>
      </c>
      <c r="E1225">
        <f>IF(A1225="",0,D1225*C1225/100/(DATE(YEAR(A1225)+1,1,1)-DATE(YEAR(A1225),1,1)))</f>
        <v/>
      </c>
      <c r="F1225">
        <f>IF(A1225="",0,SUMIF(Rechner!$A$12:$A$21,A1225,Rechner!$B$12:$B$21))</f>
        <v/>
      </c>
      <c r="G1225">
        <f>H1224+E1225</f>
        <v/>
      </c>
      <c r="H1225">
        <f>G1225-MIN(F1225,G1225)</f>
        <v/>
      </c>
      <c r="I1225">
        <f>MIN(F1225-MIN(F1225,G1225),D1225)</f>
        <v/>
      </c>
      <c r="J1225">
        <f>D1225-I1225</f>
        <v/>
      </c>
      <c r="K1225">
        <f>F1225-MIN(F1225,G1225)-I1225</f>
        <v/>
      </c>
    </row>
    <row r="1226">
      <c r="A1226" s="21">
        <f>IF(Rechner!$E$4&lt;&gt;"ok","",IF(Rechner!$E$5+1224&lt;=Rechner!$B$6,Rechner!$E$5+1224,""))</f>
        <v/>
      </c>
      <c r="B1226">
        <f>IF(A1226="","",LOOKUP(A1226,Basiszins!$A$5:$A$18,Basiszins!$B$5:$B$18))</f>
        <v/>
      </c>
      <c r="C1226">
        <f>IF(A1226="","",B1226+Rechner!$E$7)</f>
        <v/>
      </c>
      <c r="D1226">
        <f>J1225</f>
        <v/>
      </c>
      <c r="E1226">
        <f>IF(A1226="",0,D1226*C1226/100/(DATE(YEAR(A1226)+1,1,1)-DATE(YEAR(A1226),1,1)))</f>
        <v/>
      </c>
      <c r="F1226">
        <f>IF(A1226="",0,SUMIF(Rechner!$A$12:$A$21,A1226,Rechner!$B$12:$B$21))</f>
        <v/>
      </c>
      <c r="G1226">
        <f>H1225+E1226</f>
        <v/>
      </c>
      <c r="H1226">
        <f>G1226-MIN(F1226,G1226)</f>
        <v/>
      </c>
      <c r="I1226">
        <f>MIN(F1226-MIN(F1226,G1226),D1226)</f>
        <v/>
      </c>
      <c r="J1226">
        <f>D1226-I1226</f>
        <v/>
      </c>
      <c r="K1226">
        <f>F1226-MIN(F1226,G1226)-I1226</f>
        <v/>
      </c>
    </row>
    <row r="1227">
      <c r="A1227" s="21">
        <f>IF(Rechner!$E$4&lt;&gt;"ok","",IF(Rechner!$E$5+1225&lt;=Rechner!$B$6,Rechner!$E$5+1225,""))</f>
        <v/>
      </c>
      <c r="B1227">
        <f>IF(A1227="","",LOOKUP(A1227,Basiszins!$A$5:$A$18,Basiszins!$B$5:$B$18))</f>
        <v/>
      </c>
      <c r="C1227">
        <f>IF(A1227="","",B1227+Rechner!$E$7)</f>
        <v/>
      </c>
      <c r="D1227">
        <f>J1226</f>
        <v/>
      </c>
      <c r="E1227">
        <f>IF(A1227="",0,D1227*C1227/100/(DATE(YEAR(A1227)+1,1,1)-DATE(YEAR(A1227),1,1)))</f>
        <v/>
      </c>
      <c r="F1227">
        <f>IF(A1227="",0,SUMIF(Rechner!$A$12:$A$21,A1227,Rechner!$B$12:$B$21))</f>
        <v/>
      </c>
      <c r="G1227">
        <f>H1226+E1227</f>
        <v/>
      </c>
      <c r="H1227">
        <f>G1227-MIN(F1227,G1227)</f>
        <v/>
      </c>
      <c r="I1227">
        <f>MIN(F1227-MIN(F1227,G1227),D1227)</f>
        <v/>
      </c>
      <c r="J1227">
        <f>D1227-I1227</f>
        <v/>
      </c>
      <c r="K1227">
        <f>F1227-MIN(F1227,G1227)-I1227</f>
        <v/>
      </c>
    </row>
    <row r="1228">
      <c r="A1228" s="21">
        <f>IF(Rechner!$E$4&lt;&gt;"ok","",IF(Rechner!$E$5+1226&lt;=Rechner!$B$6,Rechner!$E$5+1226,""))</f>
        <v/>
      </c>
      <c r="B1228">
        <f>IF(A1228="","",LOOKUP(A1228,Basiszins!$A$5:$A$18,Basiszins!$B$5:$B$18))</f>
        <v/>
      </c>
      <c r="C1228">
        <f>IF(A1228="","",B1228+Rechner!$E$7)</f>
        <v/>
      </c>
      <c r="D1228">
        <f>J1227</f>
        <v/>
      </c>
      <c r="E1228">
        <f>IF(A1228="",0,D1228*C1228/100/(DATE(YEAR(A1228)+1,1,1)-DATE(YEAR(A1228),1,1)))</f>
        <v/>
      </c>
      <c r="F1228">
        <f>IF(A1228="",0,SUMIF(Rechner!$A$12:$A$21,A1228,Rechner!$B$12:$B$21))</f>
        <v/>
      </c>
      <c r="G1228">
        <f>H1227+E1228</f>
        <v/>
      </c>
      <c r="H1228">
        <f>G1228-MIN(F1228,G1228)</f>
        <v/>
      </c>
      <c r="I1228">
        <f>MIN(F1228-MIN(F1228,G1228),D1228)</f>
        <v/>
      </c>
      <c r="J1228">
        <f>D1228-I1228</f>
        <v/>
      </c>
      <c r="K1228">
        <f>F1228-MIN(F1228,G1228)-I1228</f>
        <v/>
      </c>
    </row>
    <row r="1229">
      <c r="A1229" s="21">
        <f>IF(Rechner!$E$4&lt;&gt;"ok","",IF(Rechner!$E$5+1227&lt;=Rechner!$B$6,Rechner!$E$5+1227,""))</f>
        <v/>
      </c>
      <c r="B1229">
        <f>IF(A1229="","",LOOKUP(A1229,Basiszins!$A$5:$A$18,Basiszins!$B$5:$B$18))</f>
        <v/>
      </c>
      <c r="C1229">
        <f>IF(A1229="","",B1229+Rechner!$E$7)</f>
        <v/>
      </c>
      <c r="D1229">
        <f>J1228</f>
        <v/>
      </c>
      <c r="E1229">
        <f>IF(A1229="",0,D1229*C1229/100/(DATE(YEAR(A1229)+1,1,1)-DATE(YEAR(A1229),1,1)))</f>
        <v/>
      </c>
      <c r="F1229">
        <f>IF(A1229="",0,SUMIF(Rechner!$A$12:$A$21,A1229,Rechner!$B$12:$B$21))</f>
        <v/>
      </c>
      <c r="G1229">
        <f>H1228+E1229</f>
        <v/>
      </c>
      <c r="H1229">
        <f>G1229-MIN(F1229,G1229)</f>
        <v/>
      </c>
      <c r="I1229">
        <f>MIN(F1229-MIN(F1229,G1229),D1229)</f>
        <v/>
      </c>
      <c r="J1229">
        <f>D1229-I1229</f>
        <v/>
      </c>
      <c r="K1229">
        <f>F1229-MIN(F1229,G1229)-I1229</f>
        <v/>
      </c>
    </row>
    <row r="1230">
      <c r="A1230" s="21">
        <f>IF(Rechner!$E$4&lt;&gt;"ok","",IF(Rechner!$E$5+1228&lt;=Rechner!$B$6,Rechner!$E$5+1228,""))</f>
        <v/>
      </c>
      <c r="B1230">
        <f>IF(A1230="","",LOOKUP(A1230,Basiszins!$A$5:$A$18,Basiszins!$B$5:$B$18))</f>
        <v/>
      </c>
      <c r="C1230">
        <f>IF(A1230="","",B1230+Rechner!$E$7)</f>
        <v/>
      </c>
      <c r="D1230">
        <f>J1229</f>
        <v/>
      </c>
      <c r="E1230">
        <f>IF(A1230="",0,D1230*C1230/100/(DATE(YEAR(A1230)+1,1,1)-DATE(YEAR(A1230),1,1)))</f>
        <v/>
      </c>
      <c r="F1230">
        <f>IF(A1230="",0,SUMIF(Rechner!$A$12:$A$21,A1230,Rechner!$B$12:$B$21))</f>
        <v/>
      </c>
      <c r="G1230">
        <f>H1229+E1230</f>
        <v/>
      </c>
      <c r="H1230">
        <f>G1230-MIN(F1230,G1230)</f>
        <v/>
      </c>
      <c r="I1230">
        <f>MIN(F1230-MIN(F1230,G1230),D1230)</f>
        <v/>
      </c>
      <c r="J1230">
        <f>D1230-I1230</f>
        <v/>
      </c>
      <c r="K1230">
        <f>F1230-MIN(F1230,G1230)-I1230</f>
        <v/>
      </c>
    </row>
    <row r="1231">
      <c r="A1231" s="21">
        <f>IF(Rechner!$E$4&lt;&gt;"ok","",IF(Rechner!$E$5+1229&lt;=Rechner!$B$6,Rechner!$E$5+1229,""))</f>
        <v/>
      </c>
      <c r="B1231">
        <f>IF(A1231="","",LOOKUP(A1231,Basiszins!$A$5:$A$18,Basiszins!$B$5:$B$18))</f>
        <v/>
      </c>
      <c r="C1231">
        <f>IF(A1231="","",B1231+Rechner!$E$7)</f>
        <v/>
      </c>
      <c r="D1231">
        <f>J1230</f>
        <v/>
      </c>
      <c r="E1231">
        <f>IF(A1231="",0,D1231*C1231/100/(DATE(YEAR(A1231)+1,1,1)-DATE(YEAR(A1231),1,1)))</f>
        <v/>
      </c>
      <c r="F1231">
        <f>IF(A1231="",0,SUMIF(Rechner!$A$12:$A$21,A1231,Rechner!$B$12:$B$21))</f>
        <v/>
      </c>
      <c r="G1231">
        <f>H1230+E1231</f>
        <v/>
      </c>
      <c r="H1231">
        <f>G1231-MIN(F1231,G1231)</f>
        <v/>
      </c>
      <c r="I1231">
        <f>MIN(F1231-MIN(F1231,G1231),D1231)</f>
        <v/>
      </c>
      <c r="J1231">
        <f>D1231-I1231</f>
        <v/>
      </c>
      <c r="K1231">
        <f>F1231-MIN(F1231,G1231)-I1231</f>
        <v/>
      </c>
    </row>
    <row r="1232">
      <c r="A1232" s="21">
        <f>IF(Rechner!$E$4&lt;&gt;"ok","",IF(Rechner!$E$5+1230&lt;=Rechner!$B$6,Rechner!$E$5+1230,""))</f>
        <v/>
      </c>
      <c r="B1232">
        <f>IF(A1232="","",LOOKUP(A1232,Basiszins!$A$5:$A$18,Basiszins!$B$5:$B$18))</f>
        <v/>
      </c>
      <c r="C1232">
        <f>IF(A1232="","",B1232+Rechner!$E$7)</f>
        <v/>
      </c>
      <c r="D1232">
        <f>J1231</f>
        <v/>
      </c>
      <c r="E1232">
        <f>IF(A1232="",0,D1232*C1232/100/(DATE(YEAR(A1232)+1,1,1)-DATE(YEAR(A1232),1,1)))</f>
        <v/>
      </c>
      <c r="F1232">
        <f>IF(A1232="",0,SUMIF(Rechner!$A$12:$A$21,A1232,Rechner!$B$12:$B$21))</f>
        <v/>
      </c>
      <c r="G1232">
        <f>H1231+E1232</f>
        <v/>
      </c>
      <c r="H1232">
        <f>G1232-MIN(F1232,G1232)</f>
        <v/>
      </c>
      <c r="I1232">
        <f>MIN(F1232-MIN(F1232,G1232),D1232)</f>
        <v/>
      </c>
      <c r="J1232">
        <f>D1232-I1232</f>
        <v/>
      </c>
      <c r="K1232">
        <f>F1232-MIN(F1232,G1232)-I1232</f>
        <v/>
      </c>
    </row>
    <row r="1233">
      <c r="A1233" s="21">
        <f>IF(Rechner!$E$4&lt;&gt;"ok","",IF(Rechner!$E$5+1231&lt;=Rechner!$B$6,Rechner!$E$5+1231,""))</f>
        <v/>
      </c>
      <c r="B1233">
        <f>IF(A1233="","",LOOKUP(A1233,Basiszins!$A$5:$A$18,Basiszins!$B$5:$B$18))</f>
        <v/>
      </c>
      <c r="C1233">
        <f>IF(A1233="","",B1233+Rechner!$E$7)</f>
        <v/>
      </c>
      <c r="D1233">
        <f>J1232</f>
        <v/>
      </c>
      <c r="E1233">
        <f>IF(A1233="",0,D1233*C1233/100/(DATE(YEAR(A1233)+1,1,1)-DATE(YEAR(A1233),1,1)))</f>
        <v/>
      </c>
      <c r="F1233">
        <f>IF(A1233="",0,SUMIF(Rechner!$A$12:$A$21,A1233,Rechner!$B$12:$B$21))</f>
        <v/>
      </c>
      <c r="G1233">
        <f>H1232+E1233</f>
        <v/>
      </c>
      <c r="H1233">
        <f>G1233-MIN(F1233,G1233)</f>
        <v/>
      </c>
      <c r="I1233">
        <f>MIN(F1233-MIN(F1233,G1233),D1233)</f>
        <v/>
      </c>
      <c r="J1233">
        <f>D1233-I1233</f>
        <v/>
      </c>
      <c r="K1233">
        <f>F1233-MIN(F1233,G1233)-I1233</f>
        <v/>
      </c>
    </row>
    <row r="1234">
      <c r="A1234" s="21">
        <f>IF(Rechner!$E$4&lt;&gt;"ok","",IF(Rechner!$E$5+1232&lt;=Rechner!$B$6,Rechner!$E$5+1232,""))</f>
        <v/>
      </c>
      <c r="B1234">
        <f>IF(A1234="","",LOOKUP(A1234,Basiszins!$A$5:$A$18,Basiszins!$B$5:$B$18))</f>
        <v/>
      </c>
      <c r="C1234">
        <f>IF(A1234="","",B1234+Rechner!$E$7)</f>
        <v/>
      </c>
      <c r="D1234">
        <f>J1233</f>
        <v/>
      </c>
      <c r="E1234">
        <f>IF(A1234="",0,D1234*C1234/100/(DATE(YEAR(A1234)+1,1,1)-DATE(YEAR(A1234),1,1)))</f>
        <v/>
      </c>
      <c r="F1234">
        <f>IF(A1234="",0,SUMIF(Rechner!$A$12:$A$21,A1234,Rechner!$B$12:$B$21))</f>
        <v/>
      </c>
      <c r="G1234">
        <f>H1233+E1234</f>
        <v/>
      </c>
      <c r="H1234">
        <f>G1234-MIN(F1234,G1234)</f>
        <v/>
      </c>
      <c r="I1234">
        <f>MIN(F1234-MIN(F1234,G1234),D1234)</f>
        <v/>
      </c>
      <c r="J1234">
        <f>D1234-I1234</f>
        <v/>
      </c>
      <c r="K1234">
        <f>F1234-MIN(F1234,G1234)-I1234</f>
        <v/>
      </c>
    </row>
    <row r="1235">
      <c r="A1235" s="21">
        <f>IF(Rechner!$E$4&lt;&gt;"ok","",IF(Rechner!$E$5+1233&lt;=Rechner!$B$6,Rechner!$E$5+1233,""))</f>
        <v/>
      </c>
      <c r="B1235">
        <f>IF(A1235="","",LOOKUP(A1235,Basiszins!$A$5:$A$18,Basiszins!$B$5:$B$18))</f>
        <v/>
      </c>
      <c r="C1235">
        <f>IF(A1235="","",B1235+Rechner!$E$7)</f>
        <v/>
      </c>
      <c r="D1235">
        <f>J1234</f>
        <v/>
      </c>
      <c r="E1235">
        <f>IF(A1235="",0,D1235*C1235/100/(DATE(YEAR(A1235)+1,1,1)-DATE(YEAR(A1235),1,1)))</f>
        <v/>
      </c>
      <c r="F1235">
        <f>IF(A1235="",0,SUMIF(Rechner!$A$12:$A$21,A1235,Rechner!$B$12:$B$21))</f>
        <v/>
      </c>
      <c r="G1235">
        <f>H1234+E1235</f>
        <v/>
      </c>
      <c r="H1235">
        <f>G1235-MIN(F1235,G1235)</f>
        <v/>
      </c>
      <c r="I1235">
        <f>MIN(F1235-MIN(F1235,G1235),D1235)</f>
        <v/>
      </c>
      <c r="J1235">
        <f>D1235-I1235</f>
        <v/>
      </c>
      <c r="K1235">
        <f>F1235-MIN(F1235,G1235)-I1235</f>
        <v/>
      </c>
    </row>
    <row r="1236">
      <c r="A1236" s="21">
        <f>IF(Rechner!$E$4&lt;&gt;"ok","",IF(Rechner!$E$5+1234&lt;=Rechner!$B$6,Rechner!$E$5+1234,""))</f>
        <v/>
      </c>
      <c r="B1236">
        <f>IF(A1236="","",LOOKUP(A1236,Basiszins!$A$5:$A$18,Basiszins!$B$5:$B$18))</f>
        <v/>
      </c>
      <c r="C1236">
        <f>IF(A1236="","",B1236+Rechner!$E$7)</f>
        <v/>
      </c>
      <c r="D1236">
        <f>J1235</f>
        <v/>
      </c>
      <c r="E1236">
        <f>IF(A1236="",0,D1236*C1236/100/(DATE(YEAR(A1236)+1,1,1)-DATE(YEAR(A1236),1,1)))</f>
        <v/>
      </c>
      <c r="F1236">
        <f>IF(A1236="",0,SUMIF(Rechner!$A$12:$A$21,A1236,Rechner!$B$12:$B$21))</f>
        <v/>
      </c>
      <c r="G1236">
        <f>H1235+E1236</f>
        <v/>
      </c>
      <c r="H1236">
        <f>G1236-MIN(F1236,G1236)</f>
        <v/>
      </c>
      <c r="I1236">
        <f>MIN(F1236-MIN(F1236,G1236),D1236)</f>
        <v/>
      </c>
      <c r="J1236">
        <f>D1236-I1236</f>
        <v/>
      </c>
      <c r="K1236">
        <f>F1236-MIN(F1236,G1236)-I1236</f>
        <v/>
      </c>
    </row>
    <row r="1237">
      <c r="A1237" s="21">
        <f>IF(Rechner!$E$4&lt;&gt;"ok","",IF(Rechner!$E$5+1235&lt;=Rechner!$B$6,Rechner!$E$5+1235,""))</f>
        <v/>
      </c>
      <c r="B1237">
        <f>IF(A1237="","",LOOKUP(A1237,Basiszins!$A$5:$A$18,Basiszins!$B$5:$B$18))</f>
        <v/>
      </c>
      <c r="C1237">
        <f>IF(A1237="","",B1237+Rechner!$E$7)</f>
        <v/>
      </c>
      <c r="D1237">
        <f>J1236</f>
        <v/>
      </c>
      <c r="E1237">
        <f>IF(A1237="",0,D1237*C1237/100/(DATE(YEAR(A1237)+1,1,1)-DATE(YEAR(A1237),1,1)))</f>
        <v/>
      </c>
      <c r="F1237">
        <f>IF(A1237="",0,SUMIF(Rechner!$A$12:$A$21,A1237,Rechner!$B$12:$B$21))</f>
        <v/>
      </c>
      <c r="G1237">
        <f>H1236+E1237</f>
        <v/>
      </c>
      <c r="H1237">
        <f>G1237-MIN(F1237,G1237)</f>
        <v/>
      </c>
      <c r="I1237">
        <f>MIN(F1237-MIN(F1237,G1237),D1237)</f>
        <v/>
      </c>
      <c r="J1237">
        <f>D1237-I1237</f>
        <v/>
      </c>
      <c r="K1237">
        <f>F1237-MIN(F1237,G1237)-I1237</f>
        <v/>
      </c>
    </row>
    <row r="1238">
      <c r="A1238" s="21">
        <f>IF(Rechner!$E$4&lt;&gt;"ok","",IF(Rechner!$E$5+1236&lt;=Rechner!$B$6,Rechner!$E$5+1236,""))</f>
        <v/>
      </c>
      <c r="B1238">
        <f>IF(A1238="","",LOOKUP(A1238,Basiszins!$A$5:$A$18,Basiszins!$B$5:$B$18))</f>
        <v/>
      </c>
      <c r="C1238">
        <f>IF(A1238="","",B1238+Rechner!$E$7)</f>
        <v/>
      </c>
      <c r="D1238">
        <f>J1237</f>
        <v/>
      </c>
      <c r="E1238">
        <f>IF(A1238="",0,D1238*C1238/100/(DATE(YEAR(A1238)+1,1,1)-DATE(YEAR(A1238),1,1)))</f>
        <v/>
      </c>
      <c r="F1238">
        <f>IF(A1238="",0,SUMIF(Rechner!$A$12:$A$21,A1238,Rechner!$B$12:$B$21))</f>
        <v/>
      </c>
      <c r="G1238">
        <f>H1237+E1238</f>
        <v/>
      </c>
      <c r="H1238">
        <f>G1238-MIN(F1238,G1238)</f>
        <v/>
      </c>
      <c r="I1238">
        <f>MIN(F1238-MIN(F1238,G1238),D1238)</f>
        <v/>
      </c>
      <c r="J1238">
        <f>D1238-I1238</f>
        <v/>
      </c>
      <c r="K1238">
        <f>F1238-MIN(F1238,G1238)-I1238</f>
        <v/>
      </c>
    </row>
    <row r="1239">
      <c r="A1239" s="21">
        <f>IF(Rechner!$E$4&lt;&gt;"ok","",IF(Rechner!$E$5+1237&lt;=Rechner!$B$6,Rechner!$E$5+1237,""))</f>
        <v/>
      </c>
      <c r="B1239">
        <f>IF(A1239="","",LOOKUP(A1239,Basiszins!$A$5:$A$18,Basiszins!$B$5:$B$18))</f>
        <v/>
      </c>
      <c r="C1239">
        <f>IF(A1239="","",B1239+Rechner!$E$7)</f>
        <v/>
      </c>
      <c r="D1239">
        <f>J1238</f>
        <v/>
      </c>
      <c r="E1239">
        <f>IF(A1239="",0,D1239*C1239/100/(DATE(YEAR(A1239)+1,1,1)-DATE(YEAR(A1239),1,1)))</f>
        <v/>
      </c>
      <c r="F1239">
        <f>IF(A1239="",0,SUMIF(Rechner!$A$12:$A$21,A1239,Rechner!$B$12:$B$21))</f>
        <v/>
      </c>
      <c r="G1239">
        <f>H1238+E1239</f>
        <v/>
      </c>
      <c r="H1239">
        <f>G1239-MIN(F1239,G1239)</f>
        <v/>
      </c>
      <c r="I1239">
        <f>MIN(F1239-MIN(F1239,G1239),D1239)</f>
        <v/>
      </c>
      <c r="J1239">
        <f>D1239-I1239</f>
        <v/>
      </c>
      <c r="K1239">
        <f>F1239-MIN(F1239,G1239)-I1239</f>
        <v/>
      </c>
    </row>
    <row r="1240">
      <c r="A1240" s="21">
        <f>IF(Rechner!$E$4&lt;&gt;"ok","",IF(Rechner!$E$5+1238&lt;=Rechner!$B$6,Rechner!$E$5+1238,""))</f>
        <v/>
      </c>
      <c r="B1240">
        <f>IF(A1240="","",LOOKUP(A1240,Basiszins!$A$5:$A$18,Basiszins!$B$5:$B$18))</f>
        <v/>
      </c>
      <c r="C1240">
        <f>IF(A1240="","",B1240+Rechner!$E$7)</f>
        <v/>
      </c>
      <c r="D1240">
        <f>J1239</f>
        <v/>
      </c>
      <c r="E1240">
        <f>IF(A1240="",0,D1240*C1240/100/(DATE(YEAR(A1240)+1,1,1)-DATE(YEAR(A1240),1,1)))</f>
        <v/>
      </c>
      <c r="F1240">
        <f>IF(A1240="",0,SUMIF(Rechner!$A$12:$A$21,A1240,Rechner!$B$12:$B$21))</f>
        <v/>
      </c>
      <c r="G1240">
        <f>H1239+E1240</f>
        <v/>
      </c>
      <c r="H1240">
        <f>G1240-MIN(F1240,G1240)</f>
        <v/>
      </c>
      <c r="I1240">
        <f>MIN(F1240-MIN(F1240,G1240),D1240)</f>
        <v/>
      </c>
      <c r="J1240">
        <f>D1240-I1240</f>
        <v/>
      </c>
      <c r="K1240">
        <f>F1240-MIN(F1240,G1240)-I1240</f>
        <v/>
      </c>
    </row>
    <row r="1241">
      <c r="A1241" s="21">
        <f>IF(Rechner!$E$4&lt;&gt;"ok","",IF(Rechner!$E$5+1239&lt;=Rechner!$B$6,Rechner!$E$5+1239,""))</f>
        <v/>
      </c>
      <c r="B1241">
        <f>IF(A1241="","",LOOKUP(A1241,Basiszins!$A$5:$A$18,Basiszins!$B$5:$B$18))</f>
        <v/>
      </c>
      <c r="C1241">
        <f>IF(A1241="","",B1241+Rechner!$E$7)</f>
        <v/>
      </c>
      <c r="D1241">
        <f>J1240</f>
        <v/>
      </c>
      <c r="E1241">
        <f>IF(A1241="",0,D1241*C1241/100/(DATE(YEAR(A1241)+1,1,1)-DATE(YEAR(A1241),1,1)))</f>
        <v/>
      </c>
      <c r="F1241">
        <f>IF(A1241="",0,SUMIF(Rechner!$A$12:$A$21,A1241,Rechner!$B$12:$B$21))</f>
        <v/>
      </c>
      <c r="G1241">
        <f>H1240+E1241</f>
        <v/>
      </c>
      <c r="H1241">
        <f>G1241-MIN(F1241,G1241)</f>
        <v/>
      </c>
      <c r="I1241">
        <f>MIN(F1241-MIN(F1241,G1241),D1241)</f>
        <v/>
      </c>
      <c r="J1241">
        <f>D1241-I1241</f>
        <v/>
      </c>
      <c r="K1241">
        <f>F1241-MIN(F1241,G1241)-I1241</f>
        <v/>
      </c>
    </row>
    <row r="1242">
      <c r="A1242" s="21">
        <f>IF(Rechner!$E$4&lt;&gt;"ok","",IF(Rechner!$E$5+1240&lt;=Rechner!$B$6,Rechner!$E$5+1240,""))</f>
        <v/>
      </c>
      <c r="B1242">
        <f>IF(A1242="","",LOOKUP(A1242,Basiszins!$A$5:$A$18,Basiszins!$B$5:$B$18))</f>
        <v/>
      </c>
      <c r="C1242">
        <f>IF(A1242="","",B1242+Rechner!$E$7)</f>
        <v/>
      </c>
      <c r="D1242">
        <f>J1241</f>
        <v/>
      </c>
      <c r="E1242">
        <f>IF(A1242="",0,D1242*C1242/100/(DATE(YEAR(A1242)+1,1,1)-DATE(YEAR(A1242),1,1)))</f>
        <v/>
      </c>
      <c r="F1242">
        <f>IF(A1242="",0,SUMIF(Rechner!$A$12:$A$21,A1242,Rechner!$B$12:$B$21))</f>
        <v/>
      </c>
      <c r="G1242">
        <f>H1241+E1242</f>
        <v/>
      </c>
      <c r="H1242">
        <f>G1242-MIN(F1242,G1242)</f>
        <v/>
      </c>
      <c r="I1242">
        <f>MIN(F1242-MIN(F1242,G1242),D1242)</f>
        <v/>
      </c>
      <c r="J1242">
        <f>D1242-I1242</f>
        <v/>
      </c>
      <c r="K1242">
        <f>F1242-MIN(F1242,G1242)-I1242</f>
        <v/>
      </c>
    </row>
    <row r="1243">
      <c r="A1243" s="21">
        <f>IF(Rechner!$E$4&lt;&gt;"ok","",IF(Rechner!$E$5+1241&lt;=Rechner!$B$6,Rechner!$E$5+1241,""))</f>
        <v/>
      </c>
      <c r="B1243">
        <f>IF(A1243="","",LOOKUP(A1243,Basiszins!$A$5:$A$18,Basiszins!$B$5:$B$18))</f>
        <v/>
      </c>
      <c r="C1243">
        <f>IF(A1243="","",B1243+Rechner!$E$7)</f>
        <v/>
      </c>
      <c r="D1243">
        <f>J1242</f>
        <v/>
      </c>
      <c r="E1243">
        <f>IF(A1243="",0,D1243*C1243/100/(DATE(YEAR(A1243)+1,1,1)-DATE(YEAR(A1243),1,1)))</f>
        <v/>
      </c>
      <c r="F1243">
        <f>IF(A1243="",0,SUMIF(Rechner!$A$12:$A$21,A1243,Rechner!$B$12:$B$21))</f>
        <v/>
      </c>
      <c r="G1243">
        <f>H1242+E1243</f>
        <v/>
      </c>
      <c r="H1243">
        <f>G1243-MIN(F1243,G1243)</f>
        <v/>
      </c>
      <c r="I1243">
        <f>MIN(F1243-MIN(F1243,G1243),D1243)</f>
        <v/>
      </c>
      <c r="J1243">
        <f>D1243-I1243</f>
        <v/>
      </c>
      <c r="K1243">
        <f>F1243-MIN(F1243,G1243)-I1243</f>
        <v/>
      </c>
    </row>
    <row r="1244">
      <c r="A1244" s="21">
        <f>IF(Rechner!$E$4&lt;&gt;"ok","",IF(Rechner!$E$5+1242&lt;=Rechner!$B$6,Rechner!$E$5+1242,""))</f>
        <v/>
      </c>
      <c r="B1244">
        <f>IF(A1244="","",LOOKUP(A1244,Basiszins!$A$5:$A$18,Basiszins!$B$5:$B$18))</f>
        <v/>
      </c>
      <c r="C1244">
        <f>IF(A1244="","",B1244+Rechner!$E$7)</f>
        <v/>
      </c>
      <c r="D1244">
        <f>J1243</f>
        <v/>
      </c>
      <c r="E1244">
        <f>IF(A1244="",0,D1244*C1244/100/(DATE(YEAR(A1244)+1,1,1)-DATE(YEAR(A1244),1,1)))</f>
        <v/>
      </c>
      <c r="F1244">
        <f>IF(A1244="",0,SUMIF(Rechner!$A$12:$A$21,A1244,Rechner!$B$12:$B$21))</f>
        <v/>
      </c>
      <c r="G1244">
        <f>H1243+E1244</f>
        <v/>
      </c>
      <c r="H1244">
        <f>G1244-MIN(F1244,G1244)</f>
        <v/>
      </c>
      <c r="I1244">
        <f>MIN(F1244-MIN(F1244,G1244),D1244)</f>
        <v/>
      </c>
      <c r="J1244">
        <f>D1244-I1244</f>
        <v/>
      </c>
      <c r="K1244">
        <f>F1244-MIN(F1244,G1244)-I1244</f>
        <v/>
      </c>
    </row>
    <row r="1245">
      <c r="A1245" s="21">
        <f>IF(Rechner!$E$4&lt;&gt;"ok","",IF(Rechner!$E$5+1243&lt;=Rechner!$B$6,Rechner!$E$5+1243,""))</f>
        <v/>
      </c>
      <c r="B1245">
        <f>IF(A1245="","",LOOKUP(A1245,Basiszins!$A$5:$A$18,Basiszins!$B$5:$B$18))</f>
        <v/>
      </c>
      <c r="C1245">
        <f>IF(A1245="","",B1245+Rechner!$E$7)</f>
        <v/>
      </c>
      <c r="D1245">
        <f>J1244</f>
        <v/>
      </c>
      <c r="E1245">
        <f>IF(A1245="",0,D1245*C1245/100/(DATE(YEAR(A1245)+1,1,1)-DATE(YEAR(A1245),1,1)))</f>
        <v/>
      </c>
      <c r="F1245">
        <f>IF(A1245="",0,SUMIF(Rechner!$A$12:$A$21,A1245,Rechner!$B$12:$B$21))</f>
        <v/>
      </c>
      <c r="G1245">
        <f>H1244+E1245</f>
        <v/>
      </c>
      <c r="H1245">
        <f>G1245-MIN(F1245,G1245)</f>
        <v/>
      </c>
      <c r="I1245">
        <f>MIN(F1245-MIN(F1245,G1245),D1245)</f>
        <v/>
      </c>
      <c r="J1245">
        <f>D1245-I1245</f>
        <v/>
      </c>
      <c r="K1245">
        <f>F1245-MIN(F1245,G1245)-I1245</f>
        <v/>
      </c>
    </row>
    <row r="1246">
      <c r="A1246" s="21">
        <f>IF(Rechner!$E$4&lt;&gt;"ok","",IF(Rechner!$E$5+1244&lt;=Rechner!$B$6,Rechner!$E$5+1244,""))</f>
        <v/>
      </c>
      <c r="B1246">
        <f>IF(A1246="","",LOOKUP(A1246,Basiszins!$A$5:$A$18,Basiszins!$B$5:$B$18))</f>
        <v/>
      </c>
      <c r="C1246">
        <f>IF(A1246="","",B1246+Rechner!$E$7)</f>
        <v/>
      </c>
      <c r="D1246">
        <f>J1245</f>
        <v/>
      </c>
      <c r="E1246">
        <f>IF(A1246="",0,D1246*C1246/100/(DATE(YEAR(A1246)+1,1,1)-DATE(YEAR(A1246),1,1)))</f>
        <v/>
      </c>
      <c r="F1246">
        <f>IF(A1246="",0,SUMIF(Rechner!$A$12:$A$21,A1246,Rechner!$B$12:$B$21))</f>
        <v/>
      </c>
      <c r="G1246">
        <f>H1245+E1246</f>
        <v/>
      </c>
      <c r="H1246">
        <f>G1246-MIN(F1246,G1246)</f>
        <v/>
      </c>
      <c r="I1246">
        <f>MIN(F1246-MIN(F1246,G1246),D1246)</f>
        <v/>
      </c>
      <c r="J1246">
        <f>D1246-I1246</f>
        <v/>
      </c>
      <c r="K1246">
        <f>F1246-MIN(F1246,G1246)-I1246</f>
        <v/>
      </c>
    </row>
    <row r="1247">
      <c r="A1247" s="21">
        <f>IF(Rechner!$E$4&lt;&gt;"ok","",IF(Rechner!$E$5+1245&lt;=Rechner!$B$6,Rechner!$E$5+1245,""))</f>
        <v/>
      </c>
      <c r="B1247">
        <f>IF(A1247="","",LOOKUP(A1247,Basiszins!$A$5:$A$18,Basiszins!$B$5:$B$18))</f>
        <v/>
      </c>
      <c r="C1247">
        <f>IF(A1247="","",B1247+Rechner!$E$7)</f>
        <v/>
      </c>
      <c r="D1247">
        <f>J1246</f>
        <v/>
      </c>
      <c r="E1247">
        <f>IF(A1247="",0,D1247*C1247/100/(DATE(YEAR(A1247)+1,1,1)-DATE(YEAR(A1247),1,1)))</f>
        <v/>
      </c>
      <c r="F1247">
        <f>IF(A1247="",0,SUMIF(Rechner!$A$12:$A$21,A1247,Rechner!$B$12:$B$21))</f>
        <v/>
      </c>
      <c r="G1247">
        <f>H1246+E1247</f>
        <v/>
      </c>
      <c r="H1247">
        <f>G1247-MIN(F1247,G1247)</f>
        <v/>
      </c>
      <c r="I1247">
        <f>MIN(F1247-MIN(F1247,G1247),D1247)</f>
        <v/>
      </c>
      <c r="J1247">
        <f>D1247-I1247</f>
        <v/>
      </c>
      <c r="K1247">
        <f>F1247-MIN(F1247,G1247)-I1247</f>
        <v/>
      </c>
    </row>
    <row r="1248">
      <c r="A1248" s="21">
        <f>IF(Rechner!$E$4&lt;&gt;"ok","",IF(Rechner!$E$5+1246&lt;=Rechner!$B$6,Rechner!$E$5+1246,""))</f>
        <v/>
      </c>
      <c r="B1248">
        <f>IF(A1248="","",LOOKUP(A1248,Basiszins!$A$5:$A$18,Basiszins!$B$5:$B$18))</f>
        <v/>
      </c>
      <c r="C1248">
        <f>IF(A1248="","",B1248+Rechner!$E$7)</f>
        <v/>
      </c>
      <c r="D1248">
        <f>J1247</f>
        <v/>
      </c>
      <c r="E1248">
        <f>IF(A1248="",0,D1248*C1248/100/(DATE(YEAR(A1248)+1,1,1)-DATE(YEAR(A1248),1,1)))</f>
        <v/>
      </c>
      <c r="F1248">
        <f>IF(A1248="",0,SUMIF(Rechner!$A$12:$A$21,A1248,Rechner!$B$12:$B$21))</f>
        <v/>
      </c>
      <c r="G1248">
        <f>H1247+E1248</f>
        <v/>
      </c>
      <c r="H1248">
        <f>G1248-MIN(F1248,G1248)</f>
        <v/>
      </c>
      <c r="I1248">
        <f>MIN(F1248-MIN(F1248,G1248),D1248)</f>
        <v/>
      </c>
      <c r="J1248">
        <f>D1248-I1248</f>
        <v/>
      </c>
      <c r="K1248">
        <f>F1248-MIN(F1248,G1248)-I1248</f>
        <v/>
      </c>
    </row>
    <row r="1249">
      <c r="A1249" s="21">
        <f>IF(Rechner!$E$4&lt;&gt;"ok","",IF(Rechner!$E$5+1247&lt;=Rechner!$B$6,Rechner!$E$5+1247,""))</f>
        <v/>
      </c>
      <c r="B1249">
        <f>IF(A1249="","",LOOKUP(A1249,Basiszins!$A$5:$A$18,Basiszins!$B$5:$B$18))</f>
        <v/>
      </c>
      <c r="C1249">
        <f>IF(A1249="","",B1249+Rechner!$E$7)</f>
        <v/>
      </c>
      <c r="D1249">
        <f>J1248</f>
        <v/>
      </c>
      <c r="E1249">
        <f>IF(A1249="",0,D1249*C1249/100/(DATE(YEAR(A1249)+1,1,1)-DATE(YEAR(A1249),1,1)))</f>
        <v/>
      </c>
      <c r="F1249">
        <f>IF(A1249="",0,SUMIF(Rechner!$A$12:$A$21,A1249,Rechner!$B$12:$B$21))</f>
        <v/>
      </c>
      <c r="G1249">
        <f>H1248+E1249</f>
        <v/>
      </c>
      <c r="H1249">
        <f>G1249-MIN(F1249,G1249)</f>
        <v/>
      </c>
      <c r="I1249">
        <f>MIN(F1249-MIN(F1249,G1249),D1249)</f>
        <v/>
      </c>
      <c r="J1249">
        <f>D1249-I1249</f>
        <v/>
      </c>
      <c r="K1249">
        <f>F1249-MIN(F1249,G1249)-I1249</f>
        <v/>
      </c>
    </row>
    <row r="1250">
      <c r="A1250" s="21">
        <f>IF(Rechner!$E$4&lt;&gt;"ok","",IF(Rechner!$E$5+1248&lt;=Rechner!$B$6,Rechner!$E$5+1248,""))</f>
        <v/>
      </c>
      <c r="B1250">
        <f>IF(A1250="","",LOOKUP(A1250,Basiszins!$A$5:$A$18,Basiszins!$B$5:$B$18))</f>
        <v/>
      </c>
      <c r="C1250">
        <f>IF(A1250="","",B1250+Rechner!$E$7)</f>
        <v/>
      </c>
      <c r="D1250">
        <f>J1249</f>
        <v/>
      </c>
      <c r="E1250">
        <f>IF(A1250="",0,D1250*C1250/100/(DATE(YEAR(A1250)+1,1,1)-DATE(YEAR(A1250),1,1)))</f>
        <v/>
      </c>
      <c r="F1250">
        <f>IF(A1250="",0,SUMIF(Rechner!$A$12:$A$21,A1250,Rechner!$B$12:$B$21))</f>
        <v/>
      </c>
      <c r="G1250">
        <f>H1249+E1250</f>
        <v/>
      </c>
      <c r="H1250">
        <f>G1250-MIN(F1250,G1250)</f>
        <v/>
      </c>
      <c r="I1250">
        <f>MIN(F1250-MIN(F1250,G1250),D1250)</f>
        <v/>
      </c>
      <c r="J1250">
        <f>D1250-I1250</f>
        <v/>
      </c>
      <c r="K1250">
        <f>F1250-MIN(F1250,G1250)-I1250</f>
        <v/>
      </c>
    </row>
    <row r="1251">
      <c r="A1251" s="21">
        <f>IF(Rechner!$E$4&lt;&gt;"ok","",IF(Rechner!$E$5+1249&lt;=Rechner!$B$6,Rechner!$E$5+1249,""))</f>
        <v/>
      </c>
      <c r="B1251">
        <f>IF(A1251="","",LOOKUP(A1251,Basiszins!$A$5:$A$18,Basiszins!$B$5:$B$18))</f>
        <v/>
      </c>
      <c r="C1251">
        <f>IF(A1251="","",B1251+Rechner!$E$7)</f>
        <v/>
      </c>
      <c r="D1251">
        <f>J1250</f>
        <v/>
      </c>
      <c r="E1251">
        <f>IF(A1251="",0,D1251*C1251/100/(DATE(YEAR(A1251)+1,1,1)-DATE(YEAR(A1251),1,1)))</f>
        <v/>
      </c>
      <c r="F1251">
        <f>IF(A1251="",0,SUMIF(Rechner!$A$12:$A$21,A1251,Rechner!$B$12:$B$21))</f>
        <v/>
      </c>
      <c r="G1251">
        <f>H1250+E1251</f>
        <v/>
      </c>
      <c r="H1251">
        <f>G1251-MIN(F1251,G1251)</f>
        <v/>
      </c>
      <c r="I1251">
        <f>MIN(F1251-MIN(F1251,G1251),D1251)</f>
        <v/>
      </c>
      <c r="J1251">
        <f>D1251-I1251</f>
        <v/>
      </c>
      <c r="K1251">
        <f>F1251-MIN(F1251,G1251)-I1251</f>
        <v/>
      </c>
    </row>
    <row r="1252">
      <c r="A1252" s="21">
        <f>IF(Rechner!$E$4&lt;&gt;"ok","",IF(Rechner!$E$5+1250&lt;=Rechner!$B$6,Rechner!$E$5+1250,""))</f>
        <v/>
      </c>
      <c r="B1252">
        <f>IF(A1252="","",LOOKUP(A1252,Basiszins!$A$5:$A$18,Basiszins!$B$5:$B$18))</f>
        <v/>
      </c>
      <c r="C1252">
        <f>IF(A1252="","",B1252+Rechner!$E$7)</f>
        <v/>
      </c>
      <c r="D1252">
        <f>J1251</f>
        <v/>
      </c>
      <c r="E1252">
        <f>IF(A1252="",0,D1252*C1252/100/(DATE(YEAR(A1252)+1,1,1)-DATE(YEAR(A1252),1,1)))</f>
        <v/>
      </c>
      <c r="F1252">
        <f>IF(A1252="",0,SUMIF(Rechner!$A$12:$A$21,A1252,Rechner!$B$12:$B$21))</f>
        <v/>
      </c>
      <c r="G1252">
        <f>H1251+E1252</f>
        <v/>
      </c>
      <c r="H1252">
        <f>G1252-MIN(F1252,G1252)</f>
        <v/>
      </c>
      <c r="I1252">
        <f>MIN(F1252-MIN(F1252,G1252),D1252)</f>
        <v/>
      </c>
      <c r="J1252">
        <f>D1252-I1252</f>
        <v/>
      </c>
      <c r="K1252">
        <f>F1252-MIN(F1252,G1252)-I1252</f>
        <v/>
      </c>
    </row>
    <row r="1253">
      <c r="A1253" s="21">
        <f>IF(Rechner!$E$4&lt;&gt;"ok","",IF(Rechner!$E$5+1251&lt;=Rechner!$B$6,Rechner!$E$5+1251,""))</f>
        <v/>
      </c>
      <c r="B1253">
        <f>IF(A1253="","",LOOKUP(A1253,Basiszins!$A$5:$A$18,Basiszins!$B$5:$B$18))</f>
        <v/>
      </c>
      <c r="C1253">
        <f>IF(A1253="","",B1253+Rechner!$E$7)</f>
        <v/>
      </c>
      <c r="D1253">
        <f>J1252</f>
        <v/>
      </c>
      <c r="E1253">
        <f>IF(A1253="",0,D1253*C1253/100/(DATE(YEAR(A1253)+1,1,1)-DATE(YEAR(A1253),1,1)))</f>
        <v/>
      </c>
      <c r="F1253">
        <f>IF(A1253="",0,SUMIF(Rechner!$A$12:$A$21,A1253,Rechner!$B$12:$B$21))</f>
        <v/>
      </c>
      <c r="G1253">
        <f>H1252+E1253</f>
        <v/>
      </c>
      <c r="H1253">
        <f>G1253-MIN(F1253,G1253)</f>
        <v/>
      </c>
      <c r="I1253">
        <f>MIN(F1253-MIN(F1253,G1253),D1253)</f>
        <v/>
      </c>
      <c r="J1253">
        <f>D1253-I1253</f>
        <v/>
      </c>
      <c r="K1253">
        <f>F1253-MIN(F1253,G1253)-I1253</f>
        <v/>
      </c>
    </row>
    <row r="1254">
      <c r="A1254" s="21">
        <f>IF(Rechner!$E$4&lt;&gt;"ok","",IF(Rechner!$E$5+1252&lt;=Rechner!$B$6,Rechner!$E$5+1252,""))</f>
        <v/>
      </c>
      <c r="B1254">
        <f>IF(A1254="","",LOOKUP(A1254,Basiszins!$A$5:$A$18,Basiszins!$B$5:$B$18))</f>
        <v/>
      </c>
      <c r="C1254">
        <f>IF(A1254="","",B1254+Rechner!$E$7)</f>
        <v/>
      </c>
      <c r="D1254">
        <f>J1253</f>
        <v/>
      </c>
      <c r="E1254">
        <f>IF(A1254="",0,D1254*C1254/100/(DATE(YEAR(A1254)+1,1,1)-DATE(YEAR(A1254),1,1)))</f>
        <v/>
      </c>
      <c r="F1254">
        <f>IF(A1254="",0,SUMIF(Rechner!$A$12:$A$21,A1254,Rechner!$B$12:$B$21))</f>
        <v/>
      </c>
      <c r="G1254">
        <f>H1253+E1254</f>
        <v/>
      </c>
      <c r="H1254">
        <f>G1254-MIN(F1254,G1254)</f>
        <v/>
      </c>
      <c r="I1254">
        <f>MIN(F1254-MIN(F1254,G1254),D1254)</f>
        <v/>
      </c>
      <c r="J1254">
        <f>D1254-I1254</f>
        <v/>
      </c>
      <c r="K1254">
        <f>F1254-MIN(F1254,G1254)-I1254</f>
        <v/>
      </c>
    </row>
    <row r="1255">
      <c r="A1255" s="21">
        <f>IF(Rechner!$E$4&lt;&gt;"ok","",IF(Rechner!$E$5+1253&lt;=Rechner!$B$6,Rechner!$E$5+1253,""))</f>
        <v/>
      </c>
      <c r="B1255">
        <f>IF(A1255="","",LOOKUP(A1255,Basiszins!$A$5:$A$18,Basiszins!$B$5:$B$18))</f>
        <v/>
      </c>
      <c r="C1255">
        <f>IF(A1255="","",B1255+Rechner!$E$7)</f>
        <v/>
      </c>
      <c r="D1255">
        <f>J1254</f>
        <v/>
      </c>
      <c r="E1255">
        <f>IF(A1255="",0,D1255*C1255/100/(DATE(YEAR(A1255)+1,1,1)-DATE(YEAR(A1255),1,1)))</f>
        <v/>
      </c>
      <c r="F1255">
        <f>IF(A1255="",0,SUMIF(Rechner!$A$12:$A$21,A1255,Rechner!$B$12:$B$21))</f>
        <v/>
      </c>
      <c r="G1255">
        <f>H1254+E1255</f>
        <v/>
      </c>
      <c r="H1255">
        <f>G1255-MIN(F1255,G1255)</f>
        <v/>
      </c>
      <c r="I1255">
        <f>MIN(F1255-MIN(F1255,G1255),D1255)</f>
        <v/>
      </c>
      <c r="J1255">
        <f>D1255-I1255</f>
        <v/>
      </c>
      <c r="K1255">
        <f>F1255-MIN(F1255,G1255)-I1255</f>
        <v/>
      </c>
    </row>
    <row r="1256">
      <c r="A1256" s="21">
        <f>IF(Rechner!$E$4&lt;&gt;"ok","",IF(Rechner!$E$5+1254&lt;=Rechner!$B$6,Rechner!$E$5+1254,""))</f>
        <v/>
      </c>
      <c r="B1256">
        <f>IF(A1256="","",LOOKUP(A1256,Basiszins!$A$5:$A$18,Basiszins!$B$5:$B$18))</f>
        <v/>
      </c>
      <c r="C1256">
        <f>IF(A1256="","",B1256+Rechner!$E$7)</f>
        <v/>
      </c>
      <c r="D1256">
        <f>J1255</f>
        <v/>
      </c>
      <c r="E1256">
        <f>IF(A1256="",0,D1256*C1256/100/(DATE(YEAR(A1256)+1,1,1)-DATE(YEAR(A1256),1,1)))</f>
        <v/>
      </c>
      <c r="F1256">
        <f>IF(A1256="",0,SUMIF(Rechner!$A$12:$A$21,A1256,Rechner!$B$12:$B$21))</f>
        <v/>
      </c>
      <c r="G1256">
        <f>H1255+E1256</f>
        <v/>
      </c>
      <c r="H1256">
        <f>G1256-MIN(F1256,G1256)</f>
        <v/>
      </c>
      <c r="I1256">
        <f>MIN(F1256-MIN(F1256,G1256),D1256)</f>
        <v/>
      </c>
      <c r="J1256">
        <f>D1256-I1256</f>
        <v/>
      </c>
      <c r="K1256">
        <f>F1256-MIN(F1256,G1256)-I1256</f>
        <v/>
      </c>
    </row>
    <row r="1257">
      <c r="A1257" s="21">
        <f>IF(Rechner!$E$4&lt;&gt;"ok","",IF(Rechner!$E$5+1255&lt;=Rechner!$B$6,Rechner!$E$5+1255,""))</f>
        <v/>
      </c>
      <c r="B1257">
        <f>IF(A1257="","",LOOKUP(A1257,Basiszins!$A$5:$A$18,Basiszins!$B$5:$B$18))</f>
        <v/>
      </c>
      <c r="C1257">
        <f>IF(A1257="","",B1257+Rechner!$E$7)</f>
        <v/>
      </c>
      <c r="D1257">
        <f>J1256</f>
        <v/>
      </c>
      <c r="E1257">
        <f>IF(A1257="",0,D1257*C1257/100/(DATE(YEAR(A1257)+1,1,1)-DATE(YEAR(A1257),1,1)))</f>
        <v/>
      </c>
      <c r="F1257">
        <f>IF(A1257="",0,SUMIF(Rechner!$A$12:$A$21,A1257,Rechner!$B$12:$B$21))</f>
        <v/>
      </c>
      <c r="G1257">
        <f>H1256+E1257</f>
        <v/>
      </c>
      <c r="H1257">
        <f>G1257-MIN(F1257,G1257)</f>
        <v/>
      </c>
      <c r="I1257">
        <f>MIN(F1257-MIN(F1257,G1257),D1257)</f>
        <v/>
      </c>
      <c r="J1257">
        <f>D1257-I1257</f>
        <v/>
      </c>
      <c r="K1257">
        <f>F1257-MIN(F1257,G1257)-I1257</f>
        <v/>
      </c>
    </row>
    <row r="1258">
      <c r="A1258" s="21">
        <f>IF(Rechner!$E$4&lt;&gt;"ok","",IF(Rechner!$E$5+1256&lt;=Rechner!$B$6,Rechner!$E$5+1256,""))</f>
        <v/>
      </c>
      <c r="B1258">
        <f>IF(A1258="","",LOOKUP(A1258,Basiszins!$A$5:$A$18,Basiszins!$B$5:$B$18))</f>
        <v/>
      </c>
      <c r="C1258">
        <f>IF(A1258="","",B1258+Rechner!$E$7)</f>
        <v/>
      </c>
      <c r="D1258">
        <f>J1257</f>
        <v/>
      </c>
      <c r="E1258">
        <f>IF(A1258="",0,D1258*C1258/100/(DATE(YEAR(A1258)+1,1,1)-DATE(YEAR(A1258),1,1)))</f>
        <v/>
      </c>
      <c r="F1258">
        <f>IF(A1258="",0,SUMIF(Rechner!$A$12:$A$21,A1258,Rechner!$B$12:$B$21))</f>
        <v/>
      </c>
      <c r="G1258">
        <f>H1257+E1258</f>
        <v/>
      </c>
      <c r="H1258">
        <f>G1258-MIN(F1258,G1258)</f>
        <v/>
      </c>
      <c r="I1258">
        <f>MIN(F1258-MIN(F1258,G1258),D1258)</f>
        <v/>
      </c>
      <c r="J1258">
        <f>D1258-I1258</f>
        <v/>
      </c>
      <c r="K1258">
        <f>F1258-MIN(F1258,G1258)-I1258</f>
        <v/>
      </c>
    </row>
    <row r="1259">
      <c r="A1259" s="21">
        <f>IF(Rechner!$E$4&lt;&gt;"ok","",IF(Rechner!$E$5+1257&lt;=Rechner!$B$6,Rechner!$E$5+1257,""))</f>
        <v/>
      </c>
      <c r="B1259">
        <f>IF(A1259="","",LOOKUP(A1259,Basiszins!$A$5:$A$18,Basiszins!$B$5:$B$18))</f>
        <v/>
      </c>
      <c r="C1259">
        <f>IF(A1259="","",B1259+Rechner!$E$7)</f>
        <v/>
      </c>
      <c r="D1259">
        <f>J1258</f>
        <v/>
      </c>
      <c r="E1259">
        <f>IF(A1259="",0,D1259*C1259/100/(DATE(YEAR(A1259)+1,1,1)-DATE(YEAR(A1259),1,1)))</f>
        <v/>
      </c>
      <c r="F1259">
        <f>IF(A1259="",0,SUMIF(Rechner!$A$12:$A$21,A1259,Rechner!$B$12:$B$21))</f>
        <v/>
      </c>
      <c r="G1259">
        <f>H1258+E1259</f>
        <v/>
      </c>
      <c r="H1259">
        <f>G1259-MIN(F1259,G1259)</f>
        <v/>
      </c>
      <c r="I1259">
        <f>MIN(F1259-MIN(F1259,G1259),D1259)</f>
        <v/>
      </c>
      <c r="J1259">
        <f>D1259-I1259</f>
        <v/>
      </c>
      <c r="K1259">
        <f>F1259-MIN(F1259,G1259)-I1259</f>
        <v/>
      </c>
    </row>
    <row r="1260">
      <c r="A1260" s="21">
        <f>IF(Rechner!$E$4&lt;&gt;"ok","",IF(Rechner!$E$5+1258&lt;=Rechner!$B$6,Rechner!$E$5+1258,""))</f>
        <v/>
      </c>
      <c r="B1260">
        <f>IF(A1260="","",LOOKUP(A1260,Basiszins!$A$5:$A$18,Basiszins!$B$5:$B$18))</f>
        <v/>
      </c>
      <c r="C1260">
        <f>IF(A1260="","",B1260+Rechner!$E$7)</f>
        <v/>
      </c>
      <c r="D1260">
        <f>J1259</f>
        <v/>
      </c>
      <c r="E1260">
        <f>IF(A1260="",0,D1260*C1260/100/(DATE(YEAR(A1260)+1,1,1)-DATE(YEAR(A1260),1,1)))</f>
        <v/>
      </c>
      <c r="F1260">
        <f>IF(A1260="",0,SUMIF(Rechner!$A$12:$A$21,A1260,Rechner!$B$12:$B$21))</f>
        <v/>
      </c>
      <c r="G1260">
        <f>H1259+E1260</f>
        <v/>
      </c>
      <c r="H1260">
        <f>G1260-MIN(F1260,G1260)</f>
        <v/>
      </c>
      <c r="I1260">
        <f>MIN(F1260-MIN(F1260,G1260),D1260)</f>
        <v/>
      </c>
      <c r="J1260">
        <f>D1260-I1260</f>
        <v/>
      </c>
      <c r="K1260">
        <f>F1260-MIN(F1260,G1260)-I1260</f>
        <v/>
      </c>
    </row>
    <row r="1261">
      <c r="A1261" s="21">
        <f>IF(Rechner!$E$4&lt;&gt;"ok","",IF(Rechner!$E$5+1259&lt;=Rechner!$B$6,Rechner!$E$5+1259,""))</f>
        <v/>
      </c>
      <c r="B1261">
        <f>IF(A1261="","",LOOKUP(A1261,Basiszins!$A$5:$A$18,Basiszins!$B$5:$B$18))</f>
        <v/>
      </c>
      <c r="C1261">
        <f>IF(A1261="","",B1261+Rechner!$E$7)</f>
        <v/>
      </c>
      <c r="D1261">
        <f>J1260</f>
        <v/>
      </c>
      <c r="E1261">
        <f>IF(A1261="",0,D1261*C1261/100/(DATE(YEAR(A1261)+1,1,1)-DATE(YEAR(A1261),1,1)))</f>
        <v/>
      </c>
      <c r="F1261">
        <f>IF(A1261="",0,SUMIF(Rechner!$A$12:$A$21,A1261,Rechner!$B$12:$B$21))</f>
        <v/>
      </c>
      <c r="G1261">
        <f>H1260+E1261</f>
        <v/>
      </c>
      <c r="H1261">
        <f>G1261-MIN(F1261,G1261)</f>
        <v/>
      </c>
      <c r="I1261">
        <f>MIN(F1261-MIN(F1261,G1261),D1261)</f>
        <v/>
      </c>
      <c r="J1261">
        <f>D1261-I1261</f>
        <v/>
      </c>
      <c r="K1261">
        <f>F1261-MIN(F1261,G1261)-I1261</f>
        <v/>
      </c>
    </row>
    <row r="1262">
      <c r="A1262" s="21">
        <f>IF(Rechner!$E$4&lt;&gt;"ok","",IF(Rechner!$E$5+1260&lt;=Rechner!$B$6,Rechner!$E$5+1260,""))</f>
        <v/>
      </c>
      <c r="B1262">
        <f>IF(A1262="","",LOOKUP(A1262,Basiszins!$A$5:$A$18,Basiszins!$B$5:$B$18))</f>
        <v/>
      </c>
      <c r="C1262">
        <f>IF(A1262="","",B1262+Rechner!$E$7)</f>
        <v/>
      </c>
      <c r="D1262">
        <f>J1261</f>
        <v/>
      </c>
      <c r="E1262">
        <f>IF(A1262="",0,D1262*C1262/100/(DATE(YEAR(A1262)+1,1,1)-DATE(YEAR(A1262),1,1)))</f>
        <v/>
      </c>
      <c r="F1262">
        <f>IF(A1262="",0,SUMIF(Rechner!$A$12:$A$21,A1262,Rechner!$B$12:$B$21))</f>
        <v/>
      </c>
      <c r="G1262">
        <f>H1261+E1262</f>
        <v/>
      </c>
      <c r="H1262">
        <f>G1262-MIN(F1262,G1262)</f>
        <v/>
      </c>
      <c r="I1262">
        <f>MIN(F1262-MIN(F1262,G1262),D1262)</f>
        <v/>
      </c>
      <c r="J1262">
        <f>D1262-I1262</f>
        <v/>
      </c>
      <c r="K1262">
        <f>F1262-MIN(F1262,G1262)-I1262</f>
        <v/>
      </c>
    </row>
    <row r="1263">
      <c r="A1263" s="21">
        <f>IF(Rechner!$E$4&lt;&gt;"ok","",IF(Rechner!$E$5+1261&lt;=Rechner!$B$6,Rechner!$E$5+1261,""))</f>
        <v/>
      </c>
      <c r="B1263">
        <f>IF(A1263="","",LOOKUP(A1263,Basiszins!$A$5:$A$18,Basiszins!$B$5:$B$18))</f>
        <v/>
      </c>
      <c r="C1263">
        <f>IF(A1263="","",B1263+Rechner!$E$7)</f>
        <v/>
      </c>
      <c r="D1263">
        <f>J1262</f>
        <v/>
      </c>
      <c r="E1263">
        <f>IF(A1263="",0,D1263*C1263/100/(DATE(YEAR(A1263)+1,1,1)-DATE(YEAR(A1263),1,1)))</f>
        <v/>
      </c>
      <c r="F1263">
        <f>IF(A1263="",0,SUMIF(Rechner!$A$12:$A$21,A1263,Rechner!$B$12:$B$21))</f>
        <v/>
      </c>
      <c r="G1263">
        <f>H1262+E1263</f>
        <v/>
      </c>
      <c r="H1263">
        <f>G1263-MIN(F1263,G1263)</f>
        <v/>
      </c>
      <c r="I1263">
        <f>MIN(F1263-MIN(F1263,G1263),D1263)</f>
        <v/>
      </c>
      <c r="J1263">
        <f>D1263-I1263</f>
        <v/>
      </c>
      <c r="K1263">
        <f>F1263-MIN(F1263,G1263)-I1263</f>
        <v/>
      </c>
    </row>
    <row r="1264">
      <c r="A1264" s="21">
        <f>IF(Rechner!$E$4&lt;&gt;"ok","",IF(Rechner!$E$5+1262&lt;=Rechner!$B$6,Rechner!$E$5+1262,""))</f>
        <v/>
      </c>
      <c r="B1264">
        <f>IF(A1264="","",LOOKUP(A1264,Basiszins!$A$5:$A$18,Basiszins!$B$5:$B$18))</f>
        <v/>
      </c>
      <c r="C1264">
        <f>IF(A1264="","",B1264+Rechner!$E$7)</f>
        <v/>
      </c>
      <c r="D1264">
        <f>J1263</f>
        <v/>
      </c>
      <c r="E1264">
        <f>IF(A1264="",0,D1264*C1264/100/(DATE(YEAR(A1264)+1,1,1)-DATE(YEAR(A1264),1,1)))</f>
        <v/>
      </c>
      <c r="F1264">
        <f>IF(A1264="",0,SUMIF(Rechner!$A$12:$A$21,A1264,Rechner!$B$12:$B$21))</f>
        <v/>
      </c>
      <c r="G1264">
        <f>H1263+E1264</f>
        <v/>
      </c>
      <c r="H1264">
        <f>G1264-MIN(F1264,G1264)</f>
        <v/>
      </c>
      <c r="I1264">
        <f>MIN(F1264-MIN(F1264,G1264),D1264)</f>
        <v/>
      </c>
      <c r="J1264">
        <f>D1264-I1264</f>
        <v/>
      </c>
      <c r="K1264">
        <f>F1264-MIN(F1264,G1264)-I1264</f>
        <v/>
      </c>
    </row>
    <row r="1265">
      <c r="A1265" s="21">
        <f>IF(Rechner!$E$4&lt;&gt;"ok","",IF(Rechner!$E$5+1263&lt;=Rechner!$B$6,Rechner!$E$5+1263,""))</f>
        <v/>
      </c>
      <c r="B1265">
        <f>IF(A1265="","",LOOKUP(A1265,Basiszins!$A$5:$A$18,Basiszins!$B$5:$B$18))</f>
        <v/>
      </c>
      <c r="C1265">
        <f>IF(A1265="","",B1265+Rechner!$E$7)</f>
        <v/>
      </c>
      <c r="D1265">
        <f>J1264</f>
        <v/>
      </c>
      <c r="E1265">
        <f>IF(A1265="",0,D1265*C1265/100/(DATE(YEAR(A1265)+1,1,1)-DATE(YEAR(A1265),1,1)))</f>
        <v/>
      </c>
      <c r="F1265">
        <f>IF(A1265="",0,SUMIF(Rechner!$A$12:$A$21,A1265,Rechner!$B$12:$B$21))</f>
        <v/>
      </c>
      <c r="G1265">
        <f>H1264+E1265</f>
        <v/>
      </c>
      <c r="H1265">
        <f>G1265-MIN(F1265,G1265)</f>
        <v/>
      </c>
      <c r="I1265">
        <f>MIN(F1265-MIN(F1265,G1265),D1265)</f>
        <v/>
      </c>
      <c r="J1265">
        <f>D1265-I1265</f>
        <v/>
      </c>
      <c r="K1265">
        <f>F1265-MIN(F1265,G1265)-I1265</f>
        <v/>
      </c>
    </row>
    <row r="1266">
      <c r="A1266" s="21">
        <f>IF(Rechner!$E$4&lt;&gt;"ok","",IF(Rechner!$E$5+1264&lt;=Rechner!$B$6,Rechner!$E$5+1264,""))</f>
        <v/>
      </c>
      <c r="B1266">
        <f>IF(A1266="","",LOOKUP(A1266,Basiszins!$A$5:$A$18,Basiszins!$B$5:$B$18))</f>
        <v/>
      </c>
      <c r="C1266">
        <f>IF(A1266="","",B1266+Rechner!$E$7)</f>
        <v/>
      </c>
      <c r="D1266">
        <f>J1265</f>
        <v/>
      </c>
      <c r="E1266">
        <f>IF(A1266="",0,D1266*C1266/100/(DATE(YEAR(A1266)+1,1,1)-DATE(YEAR(A1266),1,1)))</f>
        <v/>
      </c>
      <c r="F1266">
        <f>IF(A1266="",0,SUMIF(Rechner!$A$12:$A$21,A1266,Rechner!$B$12:$B$21))</f>
        <v/>
      </c>
      <c r="G1266">
        <f>H1265+E1266</f>
        <v/>
      </c>
      <c r="H1266">
        <f>G1266-MIN(F1266,G1266)</f>
        <v/>
      </c>
      <c r="I1266">
        <f>MIN(F1266-MIN(F1266,G1266),D1266)</f>
        <v/>
      </c>
      <c r="J1266">
        <f>D1266-I1266</f>
        <v/>
      </c>
      <c r="K1266">
        <f>F1266-MIN(F1266,G1266)-I1266</f>
        <v/>
      </c>
    </row>
    <row r="1267">
      <c r="A1267" s="21">
        <f>IF(Rechner!$E$4&lt;&gt;"ok","",IF(Rechner!$E$5+1265&lt;=Rechner!$B$6,Rechner!$E$5+1265,""))</f>
        <v/>
      </c>
      <c r="B1267">
        <f>IF(A1267="","",LOOKUP(A1267,Basiszins!$A$5:$A$18,Basiszins!$B$5:$B$18))</f>
        <v/>
      </c>
      <c r="C1267">
        <f>IF(A1267="","",B1267+Rechner!$E$7)</f>
        <v/>
      </c>
      <c r="D1267">
        <f>J1266</f>
        <v/>
      </c>
      <c r="E1267">
        <f>IF(A1267="",0,D1267*C1267/100/(DATE(YEAR(A1267)+1,1,1)-DATE(YEAR(A1267),1,1)))</f>
        <v/>
      </c>
      <c r="F1267">
        <f>IF(A1267="",0,SUMIF(Rechner!$A$12:$A$21,A1267,Rechner!$B$12:$B$21))</f>
        <v/>
      </c>
      <c r="G1267">
        <f>H1266+E1267</f>
        <v/>
      </c>
      <c r="H1267">
        <f>G1267-MIN(F1267,G1267)</f>
        <v/>
      </c>
      <c r="I1267">
        <f>MIN(F1267-MIN(F1267,G1267),D1267)</f>
        <v/>
      </c>
      <c r="J1267">
        <f>D1267-I1267</f>
        <v/>
      </c>
      <c r="K1267">
        <f>F1267-MIN(F1267,G1267)-I1267</f>
        <v/>
      </c>
    </row>
    <row r="1268">
      <c r="A1268" s="21">
        <f>IF(Rechner!$E$4&lt;&gt;"ok","",IF(Rechner!$E$5+1266&lt;=Rechner!$B$6,Rechner!$E$5+1266,""))</f>
        <v/>
      </c>
      <c r="B1268">
        <f>IF(A1268="","",LOOKUP(A1268,Basiszins!$A$5:$A$18,Basiszins!$B$5:$B$18))</f>
        <v/>
      </c>
      <c r="C1268">
        <f>IF(A1268="","",B1268+Rechner!$E$7)</f>
        <v/>
      </c>
      <c r="D1268">
        <f>J1267</f>
        <v/>
      </c>
      <c r="E1268">
        <f>IF(A1268="",0,D1268*C1268/100/(DATE(YEAR(A1268)+1,1,1)-DATE(YEAR(A1268),1,1)))</f>
        <v/>
      </c>
      <c r="F1268">
        <f>IF(A1268="",0,SUMIF(Rechner!$A$12:$A$21,A1268,Rechner!$B$12:$B$21))</f>
        <v/>
      </c>
      <c r="G1268">
        <f>H1267+E1268</f>
        <v/>
      </c>
      <c r="H1268">
        <f>G1268-MIN(F1268,G1268)</f>
        <v/>
      </c>
      <c r="I1268">
        <f>MIN(F1268-MIN(F1268,G1268),D1268)</f>
        <v/>
      </c>
      <c r="J1268">
        <f>D1268-I1268</f>
        <v/>
      </c>
      <c r="K1268">
        <f>F1268-MIN(F1268,G1268)-I1268</f>
        <v/>
      </c>
    </row>
    <row r="1269">
      <c r="A1269" s="21">
        <f>IF(Rechner!$E$4&lt;&gt;"ok","",IF(Rechner!$E$5+1267&lt;=Rechner!$B$6,Rechner!$E$5+1267,""))</f>
        <v/>
      </c>
      <c r="B1269">
        <f>IF(A1269="","",LOOKUP(A1269,Basiszins!$A$5:$A$18,Basiszins!$B$5:$B$18))</f>
        <v/>
      </c>
      <c r="C1269">
        <f>IF(A1269="","",B1269+Rechner!$E$7)</f>
        <v/>
      </c>
      <c r="D1269">
        <f>J1268</f>
        <v/>
      </c>
      <c r="E1269">
        <f>IF(A1269="",0,D1269*C1269/100/(DATE(YEAR(A1269)+1,1,1)-DATE(YEAR(A1269),1,1)))</f>
        <v/>
      </c>
      <c r="F1269">
        <f>IF(A1269="",0,SUMIF(Rechner!$A$12:$A$21,A1269,Rechner!$B$12:$B$21))</f>
        <v/>
      </c>
      <c r="G1269">
        <f>H1268+E1269</f>
        <v/>
      </c>
      <c r="H1269">
        <f>G1269-MIN(F1269,G1269)</f>
        <v/>
      </c>
      <c r="I1269">
        <f>MIN(F1269-MIN(F1269,G1269),D1269)</f>
        <v/>
      </c>
      <c r="J1269">
        <f>D1269-I1269</f>
        <v/>
      </c>
      <c r="K1269">
        <f>F1269-MIN(F1269,G1269)-I1269</f>
        <v/>
      </c>
    </row>
    <row r="1270">
      <c r="A1270" s="21">
        <f>IF(Rechner!$E$4&lt;&gt;"ok","",IF(Rechner!$E$5+1268&lt;=Rechner!$B$6,Rechner!$E$5+1268,""))</f>
        <v/>
      </c>
      <c r="B1270">
        <f>IF(A1270="","",LOOKUP(A1270,Basiszins!$A$5:$A$18,Basiszins!$B$5:$B$18))</f>
        <v/>
      </c>
      <c r="C1270">
        <f>IF(A1270="","",B1270+Rechner!$E$7)</f>
        <v/>
      </c>
      <c r="D1270">
        <f>J1269</f>
        <v/>
      </c>
      <c r="E1270">
        <f>IF(A1270="",0,D1270*C1270/100/(DATE(YEAR(A1270)+1,1,1)-DATE(YEAR(A1270),1,1)))</f>
        <v/>
      </c>
      <c r="F1270">
        <f>IF(A1270="",0,SUMIF(Rechner!$A$12:$A$21,A1270,Rechner!$B$12:$B$21))</f>
        <v/>
      </c>
      <c r="G1270">
        <f>H1269+E1270</f>
        <v/>
      </c>
      <c r="H1270">
        <f>G1270-MIN(F1270,G1270)</f>
        <v/>
      </c>
      <c r="I1270">
        <f>MIN(F1270-MIN(F1270,G1270),D1270)</f>
        <v/>
      </c>
      <c r="J1270">
        <f>D1270-I1270</f>
        <v/>
      </c>
      <c r="K1270">
        <f>F1270-MIN(F1270,G1270)-I1270</f>
        <v/>
      </c>
    </row>
    <row r="1271">
      <c r="A1271" s="21">
        <f>IF(Rechner!$E$4&lt;&gt;"ok","",IF(Rechner!$E$5+1269&lt;=Rechner!$B$6,Rechner!$E$5+1269,""))</f>
        <v/>
      </c>
      <c r="B1271">
        <f>IF(A1271="","",LOOKUP(A1271,Basiszins!$A$5:$A$18,Basiszins!$B$5:$B$18))</f>
        <v/>
      </c>
      <c r="C1271">
        <f>IF(A1271="","",B1271+Rechner!$E$7)</f>
        <v/>
      </c>
      <c r="D1271">
        <f>J1270</f>
        <v/>
      </c>
      <c r="E1271">
        <f>IF(A1271="",0,D1271*C1271/100/(DATE(YEAR(A1271)+1,1,1)-DATE(YEAR(A1271),1,1)))</f>
        <v/>
      </c>
      <c r="F1271">
        <f>IF(A1271="",0,SUMIF(Rechner!$A$12:$A$21,A1271,Rechner!$B$12:$B$21))</f>
        <v/>
      </c>
      <c r="G1271">
        <f>H1270+E1271</f>
        <v/>
      </c>
      <c r="H1271">
        <f>G1271-MIN(F1271,G1271)</f>
        <v/>
      </c>
      <c r="I1271">
        <f>MIN(F1271-MIN(F1271,G1271),D1271)</f>
        <v/>
      </c>
      <c r="J1271">
        <f>D1271-I1271</f>
        <v/>
      </c>
      <c r="K1271">
        <f>F1271-MIN(F1271,G1271)-I1271</f>
        <v/>
      </c>
    </row>
    <row r="1272">
      <c r="A1272" s="21">
        <f>IF(Rechner!$E$4&lt;&gt;"ok","",IF(Rechner!$E$5+1270&lt;=Rechner!$B$6,Rechner!$E$5+1270,""))</f>
        <v/>
      </c>
      <c r="B1272">
        <f>IF(A1272="","",LOOKUP(A1272,Basiszins!$A$5:$A$18,Basiszins!$B$5:$B$18))</f>
        <v/>
      </c>
      <c r="C1272">
        <f>IF(A1272="","",B1272+Rechner!$E$7)</f>
        <v/>
      </c>
      <c r="D1272">
        <f>J1271</f>
        <v/>
      </c>
      <c r="E1272">
        <f>IF(A1272="",0,D1272*C1272/100/(DATE(YEAR(A1272)+1,1,1)-DATE(YEAR(A1272),1,1)))</f>
        <v/>
      </c>
      <c r="F1272">
        <f>IF(A1272="",0,SUMIF(Rechner!$A$12:$A$21,A1272,Rechner!$B$12:$B$21))</f>
        <v/>
      </c>
      <c r="G1272">
        <f>H1271+E1272</f>
        <v/>
      </c>
      <c r="H1272">
        <f>G1272-MIN(F1272,G1272)</f>
        <v/>
      </c>
      <c r="I1272">
        <f>MIN(F1272-MIN(F1272,G1272),D1272)</f>
        <v/>
      </c>
      <c r="J1272">
        <f>D1272-I1272</f>
        <v/>
      </c>
      <c r="K1272">
        <f>F1272-MIN(F1272,G1272)-I1272</f>
        <v/>
      </c>
    </row>
    <row r="1273">
      <c r="A1273" s="21">
        <f>IF(Rechner!$E$4&lt;&gt;"ok","",IF(Rechner!$E$5+1271&lt;=Rechner!$B$6,Rechner!$E$5+1271,""))</f>
        <v/>
      </c>
      <c r="B1273">
        <f>IF(A1273="","",LOOKUP(A1273,Basiszins!$A$5:$A$18,Basiszins!$B$5:$B$18))</f>
        <v/>
      </c>
      <c r="C1273">
        <f>IF(A1273="","",B1273+Rechner!$E$7)</f>
        <v/>
      </c>
      <c r="D1273">
        <f>J1272</f>
        <v/>
      </c>
      <c r="E1273">
        <f>IF(A1273="",0,D1273*C1273/100/(DATE(YEAR(A1273)+1,1,1)-DATE(YEAR(A1273),1,1)))</f>
        <v/>
      </c>
      <c r="F1273">
        <f>IF(A1273="",0,SUMIF(Rechner!$A$12:$A$21,A1273,Rechner!$B$12:$B$21))</f>
        <v/>
      </c>
      <c r="G1273">
        <f>H1272+E1273</f>
        <v/>
      </c>
      <c r="H1273">
        <f>G1273-MIN(F1273,G1273)</f>
        <v/>
      </c>
      <c r="I1273">
        <f>MIN(F1273-MIN(F1273,G1273),D1273)</f>
        <v/>
      </c>
      <c r="J1273">
        <f>D1273-I1273</f>
        <v/>
      </c>
      <c r="K1273">
        <f>F1273-MIN(F1273,G1273)-I1273</f>
        <v/>
      </c>
    </row>
    <row r="1274">
      <c r="A1274" s="21">
        <f>IF(Rechner!$E$4&lt;&gt;"ok","",IF(Rechner!$E$5+1272&lt;=Rechner!$B$6,Rechner!$E$5+1272,""))</f>
        <v/>
      </c>
      <c r="B1274">
        <f>IF(A1274="","",LOOKUP(A1274,Basiszins!$A$5:$A$18,Basiszins!$B$5:$B$18))</f>
        <v/>
      </c>
      <c r="C1274">
        <f>IF(A1274="","",B1274+Rechner!$E$7)</f>
        <v/>
      </c>
      <c r="D1274">
        <f>J1273</f>
        <v/>
      </c>
      <c r="E1274">
        <f>IF(A1274="",0,D1274*C1274/100/(DATE(YEAR(A1274)+1,1,1)-DATE(YEAR(A1274),1,1)))</f>
        <v/>
      </c>
      <c r="F1274">
        <f>IF(A1274="",0,SUMIF(Rechner!$A$12:$A$21,A1274,Rechner!$B$12:$B$21))</f>
        <v/>
      </c>
      <c r="G1274">
        <f>H1273+E1274</f>
        <v/>
      </c>
      <c r="H1274">
        <f>G1274-MIN(F1274,G1274)</f>
        <v/>
      </c>
      <c r="I1274">
        <f>MIN(F1274-MIN(F1274,G1274),D1274)</f>
        <v/>
      </c>
      <c r="J1274">
        <f>D1274-I1274</f>
        <v/>
      </c>
      <c r="K1274">
        <f>F1274-MIN(F1274,G1274)-I1274</f>
        <v/>
      </c>
    </row>
    <row r="1275">
      <c r="A1275" s="21">
        <f>IF(Rechner!$E$4&lt;&gt;"ok","",IF(Rechner!$E$5+1273&lt;=Rechner!$B$6,Rechner!$E$5+1273,""))</f>
        <v/>
      </c>
      <c r="B1275">
        <f>IF(A1275="","",LOOKUP(A1275,Basiszins!$A$5:$A$18,Basiszins!$B$5:$B$18))</f>
        <v/>
      </c>
      <c r="C1275">
        <f>IF(A1275="","",B1275+Rechner!$E$7)</f>
        <v/>
      </c>
      <c r="D1275">
        <f>J1274</f>
        <v/>
      </c>
      <c r="E1275">
        <f>IF(A1275="",0,D1275*C1275/100/(DATE(YEAR(A1275)+1,1,1)-DATE(YEAR(A1275),1,1)))</f>
        <v/>
      </c>
      <c r="F1275">
        <f>IF(A1275="",0,SUMIF(Rechner!$A$12:$A$21,A1275,Rechner!$B$12:$B$21))</f>
        <v/>
      </c>
      <c r="G1275">
        <f>H1274+E1275</f>
        <v/>
      </c>
      <c r="H1275">
        <f>G1275-MIN(F1275,G1275)</f>
        <v/>
      </c>
      <c r="I1275">
        <f>MIN(F1275-MIN(F1275,G1275),D1275)</f>
        <v/>
      </c>
      <c r="J1275">
        <f>D1275-I1275</f>
        <v/>
      </c>
      <c r="K1275">
        <f>F1275-MIN(F1275,G1275)-I1275</f>
        <v/>
      </c>
    </row>
    <row r="1276">
      <c r="A1276" s="21">
        <f>IF(Rechner!$E$4&lt;&gt;"ok","",IF(Rechner!$E$5+1274&lt;=Rechner!$B$6,Rechner!$E$5+1274,""))</f>
        <v/>
      </c>
      <c r="B1276">
        <f>IF(A1276="","",LOOKUP(A1276,Basiszins!$A$5:$A$18,Basiszins!$B$5:$B$18))</f>
        <v/>
      </c>
      <c r="C1276">
        <f>IF(A1276="","",B1276+Rechner!$E$7)</f>
        <v/>
      </c>
      <c r="D1276">
        <f>J1275</f>
        <v/>
      </c>
      <c r="E1276">
        <f>IF(A1276="",0,D1276*C1276/100/(DATE(YEAR(A1276)+1,1,1)-DATE(YEAR(A1276),1,1)))</f>
        <v/>
      </c>
      <c r="F1276">
        <f>IF(A1276="",0,SUMIF(Rechner!$A$12:$A$21,A1276,Rechner!$B$12:$B$21))</f>
        <v/>
      </c>
      <c r="G1276">
        <f>H1275+E1276</f>
        <v/>
      </c>
      <c r="H1276">
        <f>G1276-MIN(F1276,G1276)</f>
        <v/>
      </c>
      <c r="I1276">
        <f>MIN(F1276-MIN(F1276,G1276),D1276)</f>
        <v/>
      </c>
      <c r="J1276">
        <f>D1276-I1276</f>
        <v/>
      </c>
      <c r="K1276">
        <f>F1276-MIN(F1276,G1276)-I1276</f>
        <v/>
      </c>
    </row>
    <row r="1277">
      <c r="A1277" s="21">
        <f>IF(Rechner!$E$4&lt;&gt;"ok","",IF(Rechner!$E$5+1275&lt;=Rechner!$B$6,Rechner!$E$5+1275,""))</f>
        <v/>
      </c>
      <c r="B1277">
        <f>IF(A1277="","",LOOKUP(A1277,Basiszins!$A$5:$A$18,Basiszins!$B$5:$B$18))</f>
        <v/>
      </c>
      <c r="C1277">
        <f>IF(A1277="","",B1277+Rechner!$E$7)</f>
        <v/>
      </c>
      <c r="D1277">
        <f>J1276</f>
        <v/>
      </c>
      <c r="E1277">
        <f>IF(A1277="",0,D1277*C1277/100/(DATE(YEAR(A1277)+1,1,1)-DATE(YEAR(A1277),1,1)))</f>
        <v/>
      </c>
      <c r="F1277">
        <f>IF(A1277="",0,SUMIF(Rechner!$A$12:$A$21,A1277,Rechner!$B$12:$B$21))</f>
        <v/>
      </c>
      <c r="G1277">
        <f>H1276+E1277</f>
        <v/>
      </c>
      <c r="H1277">
        <f>G1277-MIN(F1277,G1277)</f>
        <v/>
      </c>
      <c r="I1277">
        <f>MIN(F1277-MIN(F1277,G1277),D1277)</f>
        <v/>
      </c>
      <c r="J1277">
        <f>D1277-I1277</f>
        <v/>
      </c>
      <c r="K1277">
        <f>F1277-MIN(F1277,G1277)-I1277</f>
        <v/>
      </c>
    </row>
    <row r="1278">
      <c r="A1278" s="21">
        <f>IF(Rechner!$E$4&lt;&gt;"ok","",IF(Rechner!$E$5+1276&lt;=Rechner!$B$6,Rechner!$E$5+1276,""))</f>
        <v/>
      </c>
      <c r="B1278">
        <f>IF(A1278="","",LOOKUP(A1278,Basiszins!$A$5:$A$18,Basiszins!$B$5:$B$18))</f>
        <v/>
      </c>
      <c r="C1278">
        <f>IF(A1278="","",B1278+Rechner!$E$7)</f>
        <v/>
      </c>
      <c r="D1278">
        <f>J1277</f>
        <v/>
      </c>
      <c r="E1278">
        <f>IF(A1278="",0,D1278*C1278/100/(DATE(YEAR(A1278)+1,1,1)-DATE(YEAR(A1278),1,1)))</f>
        <v/>
      </c>
      <c r="F1278">
        <f>IF(A1278="",0,SUMIF(Rechner!$A$12:$A$21,A1278,Rechner!$B$12:$B$21))</f>
        <v/>
      </c>
      <c r="G1278">
        <f>H1277+E1278</f>
        <v/>
      </c>
      <c r="H1278">
        <f>G1278-MIN(F1278,G1278)</f>
        <v/>
      </c>
      <c r="I1278">
        <f>MIN(F1278-MIN(F1278,G1278),D1278)</f>
        <v/>
      </c>
      <c r="J1278">
        <f>D1278-I1278</f>
        <v/>
      </c>
      <c r="K1278">
        <f>F1278-MIN(F1278,G1278)-I1278</f>
        <v/>
      </c>
    </row>
    <row r="1279">
      <c r="A1279" s="21">
        <f>IF(Rechner!$E$4&lt;&gt;"ok","",IF(Rechner!$E$5+1277&lt;=Rechner!$B$6,Rechner!$E$5+1277,""))</f>
        <v/>
      </c>
      <c r="B1279">
        <f>IF(A1279="","",LOOKUP(A1279,Basiszins!$A$5:$A$18,Basiszins!$B$5:$B$18))</f>
        <v/>
      </c>
      <c r="C1279">
        <f>IF(A1279="","",B1279+Rechner!$E$7)</f>
        <v/>
      </c>
      <c r="D1279">
        <f>J1278</f>
        <v/>
      </c>
      <c r="E1279">
        <f>IF(A1279="",0,D1279*C1279/100/(DATE(YEAR(A1279)+1,1,1)-DATE(YEAR(A1279),1,1)))</f>
        <v/>
      </c>
      <c r="F1279">
        <f>IF(A1279="",0,SUMIF(Rechner!$A$12:$A$21,A1279,Rechner!$B$12:$B$21))</f>
        <v/>
      </c>
      <c r="G1279">
        <f>H1278+E1279</f>
        <v/>
      </c>
      <c r="H1279">
        <f>G1279-MIN(F1279,G1279)</f>
        <v/>
      </c>
      <c r="I1279">
        <f>MIN(F1279-MIN(F1279,G1279),D1279)</f>
        <v/>
      </c>
      <c r="J1279">
        <f>D1279-I1279</f>
        <v/>
      </c>
      <c r="K1279">
        <f>F1279-MIN(F1279,G1279)-I1279</f>
        <v/>
      </c>
    </row>
    <row r="1280">
      <c r="A1280" s="21">
        <f>IF(Rechner!$E$4&lt;&gt;"ok","",IF(Rechner!$E$5+1278&lt;=Rechner!$B$6,Rechner!$E$5+1278,""))</f>
        <v/>
      </c>
      <c r="B1280">
        <f>IF(A1280="","",LOOKUP(A1280,Basiszins!$A$5:$A$18,Basiszins!$B$5:$B$18))</f>
        <v/>
      </c>
      <c r="C1280">
        <f>IF(A1280="","",B1280+Rechner!$E$7)</f>
        <v/>
      </c>
      <c r="D1280">
        <f>J1279</f>
        <v/>
      </c>
      <c r="E1280">
        <f>IF(A1280="",0,D1280*C1280/100/(DATE(YEAR(A1280)+1,1,1)-DATE(YEAR(A1280),1,1)))</f>
        <v/>
      </c>
      <c r="F1280">
        <f>IF(A1280="",0,SUMIF(Rechner!$A$12:$A$21,A1280,Rechner!$B$12:$B$21))</f>
        <v/>
      </c>
      <c r="G1280">
        <f>H1279+E1280</f>
        <v/>
      </c>
      <c r="H1280">
        <f>G1280-MIN(F1280,G1280)</f>
        <v/>
      </c>
      <c r="I1280">
        <f>MIN(F1280-MIN(F1280,G1280),D1280)</f>
        <v/>
      </c>
      <c r="J1280">
        <f>D1280-I1280</f>
        <v/>
      </c>
      <c r="K1280">
        <f>F1280-MIN(F1280,G1280)-I1280</f>
        <v/>
      </c>
    </row>
    <row r="1281">
      <c r="A1281" s="21">
        <f>IF(Rechner!$E$4&lt;&gt;"ok","",IF(Rechner!$E$5+1279&lt;=Rechner!$B$6,Rechner!$E$5+1279,""))</f>
        <v/>
      </c>
      <c r="B1281">
        <f>IF(A1281="","",LOOKUP(A1281,Basiszins!$A$5:$A$18,Basiszins!$B$5:$B$18))</f>
        <v/>
      </c>
      <c r="C1281">
        <f>IF(A1281="","",B1281+Rechner!$E$7)</f>
        <v/>
      </c>
      <c r="D1281">
        <f>J1280</f>
        <v/>
      </c>
      <c r="E1281">
        <f>IF(A1281="",0,D1281*C1281/100/(DATE(YEAR(A1281)+1,1,1)-DATE(YEAR(A1281),1,1)))</f>
        <v/>
      </c>
      <c r="F1281">
        <f>IF(A1281="",0,SUMIF(Rechner!$A$12:$A$21,A1281,Rechner!$B$12:$B$21))</f>
        <v/>
      </c>
      <c r="G1281">
        <f>H1280+E1281</f>
        <v/>
      </c>
      <c r="H1281">
        <f>G1281-MIN(F1281,G1281)</f>
        <v/>
      </c>
      <c r="I1281">
        <f>MIN(F1281-MIN(F1281,G1281),D1281)</f>
        <v/>
      </c>
      <c r="J1281">
        <f>D1281-I1281</f>
        <v/>
      </c>
      <c r="K1281">
        <f>F1281-MIN(F1281,G1281)-I1281</f>
        <v/>
      </c>
    </row>
    <row r="1282">
      <c r="A1282" s="21">
        <f>IF(Rechner!$E$4&lt;&gt;"ok","",IF(Rechner!$E$5+1280&lt;=Rechner!$B$6,Rechner!$E$5+1280,""))</f>
        <v/>
      </c>
      <c r="B1282">
        <f>IF(A1282="","",LOOKUP(A1282,Basiszins!$A$5:$A$18,Basiszins!$B$5:$B$18))</f>
        <v/>
      </c>
      <c r="C1282">
        <f>IF(A1282="","",B1282+Rechner!$E$7)</f>
        <v/>
      </c>
      <c r="D1282">
        <f>J1281</f>
        <v/>
      </c>
      <c r="E1282">
        <f>IF(A1282="",0,D1282*C1282/100/(DATE(YEAR(A1282)+1,1,1)-DATE(YEAR(A1282),1,1)))</f>
        <v/>
      </c>
      <c r="F1282">
        <f>IF(A1282="",0,SUMIF(Rechner!$A$12:$A$21,A1282,Rechner!$B$12:$B$21))</f>
        <v/>
      </c>
      <c r="G1282">
        <f>H1281+E1282</f>
        <v/>
      </c>
      <c r="H1282">
        <f>G1282-MIN(F1282,G1282)</f>
        <v/>
      </c>
      <c r="I1282">
        <f>MIN(F1282-MIN(F1282,G1282),D1282)</f>
        <v/>
      </c>
      <c r="J1282">
        <f>D1282-I1282</f>
        <v/>
      </c>
      <c r="K1282">
        <f>F1282-MIN(F1282,G1282)-I1282</f>
        <v/>
      </c>
    </row>
    <row r="1283">
      <c r="A1283" s="21">
        <f>IF(Rechner!$E$4&lt;&gt;"ok","",IF(Rechner!$E$5+1281&lt;=Rechner!$B$6,Rechner!$E$5+1281,""))</f>
        <v/>
      </c>
      <c r="B1283">
        <f>IF(A1283="","",LOOKUP(A1283,Basiszins!$A$5:$A$18,Basiszins!$B$5:$B$18))</f>
        <v/>
      </c>
      <c r="C1283">
        <f>IF(A1283="","",B1283+Rechner!$E$7)</f>
        <v/>
      </c>
      <c r="D1283">
        <f>J1282</f>
        <v/>
      </c>
      <c r="E1283">
        <f>IF(A1283="",0,D1283*C1283/100/(DATE(YEAR(A1283)+1,1,1)-DATE(YEAR(A1283),1,1)))</f>
        <v/>
      </c>
      <c r="F1283">
        <f>IF(A1283="",0,SUMIF(Rechner!$A$12:$A$21,A1283,Rechner!$B$12:$B$21))</f>
        <v/>
      </c>
      <c r="G1283">
        <f>H1282+E1283</f>
        <v/>
      </c>
      <c r="H1283">
        <f>G1283-MIN(F1283,G1283)</f>
        <v/>
      </c>
      <c r="I1283">
        <f>MIN(F1283-MIN(F1283,G1283),D1283)</f>
        <v/>
      </c>
      <c r="J1283">
        <f>D1283-I1283</f>
        <v/>
      </c>
      <c r="K1283">
        <f>F1283-MIN(F1283,G1283)-I1283</f>
        <v/>
      </c>
    </row>
    <row r="1284">
      <c r="A1284" s="21">
        <f>IF(Rechner!$E$4&lt;&gt;"ok","",IF(Rechner!$E$5+1282&lt;=Rechner!$B$6,Rechner!$E$5+1282,""))</f>
        <v/>
      </c>
      <c r="B1284">
        <f>IF(A1284="","",LOOKUP(A1284,Basiszins!$A$5:$A$18,Basiszins!$B$5:$B$18))</f>
        <v/>
      </c>
      <c r="C1284">
        <f>IF(A1284="","",B1284+Rechner!$E$7)</f>
        <v/>
      </c>
      <c r="D1284">
        <f>J1283</f>
        <v/>
      </c>
      <c r="E1284">
        <f>IF(A1284="",0,D1284*C1284/100/(DATE(YEAR(A1284)+1,1,1)-DATE(YEAR(A1284),1,1)))</f>
        <v/>
      </c>
      <c r="F1284">
        <f>IF(A1284="",0,SUMIF(Rechner!$A$12:$A$21,A1284,Rechner!$B$12:$B$21))</f>
        <v/>
      </c>
      <c r="G1284">
        <f>H1283+E1284</f>
        <v/>
      </c>
      <c r="H1284">
        <f>G1284-MIN(F1284,G1284)</f>
        <v/>
      </c>
      <c r="I1284">
        <f>MIN(F1284-MIN(F1284,G1284),D1284)</f>
        <v/>
      </c>
      <c r="J1284">
        <f>D1284-I1284</f>
        <v/>
      </c>
      <c r="K1284">
        <f>F1284-MIN(F1284,G1284)-I1284</f>
        <v/>
      </c>
    </row>
    <row r="1285">
      <c r="A1285" s="21">
        <f>IF(Rechner!$E$4&lt;&gt;"ok","",IF(Rechner!$E$5+1283&lt;=Rechner!$B$6,Rechner!$E$5+1283,""))</f>
        <v/>
      </c>
      <c r="B1285">
        <f>IF(A1285="","",LOOKUP(A1285,Basiszins!$A$5:$A$18,Basiszins!$B$5:$B$18))</f>
        <v/>
      </c>
      <c r="C1285">
        <f>IF(A1285="","",B1285+Rechner!$E$7)</f>
        <v/>
      </c>
      <c r="D1285">
        <f>J1284</f>
        <v/>
      </c>
      <c r="E1285">
        <f>IF(A1285="",0,D1285*C1285/100/(DATE(YEAR(A1285)+1,1,1)-DATE(YEAR(A1285),1,1)))</f>
        <v/>
      </c>
      <c r="F1285">
        <f>IF(A1285="",0,SUMIF(Rechner!$A$12:$A$21,A1285,Rechner!$B$12:$B$21))</f>
        <v/>
      </c>
      <c r="G1285">
        <f>H1284+E1285</f>
        <v/>
      </c>
      <c r="H1285">
        <f>G1285-MIN(F1285,G1285)</f>
        <v/>
      </c>
      <c r="I1285">
        <f>MIN(F1285-MIN(F1285,G1285),D1285)</f>
        <v/>
      </c>
      <c r="J1285">
        <f>D1285-I1285</f>
        <v/>
      </c>
      <c r="K1285">
        <f>F1285-MIN(F1285,G1285)-I1285</f>
        <v/>
      </c>
    </row>
    <row r="1286">
      <c r="A1286" s="21">
        <f>IF(Rechner!$E$4&lt;&gt;"ok","",IF(Rechner!$E$5+1284&lt;=Rechner!$B$6,Rechner!$E$5+1284,""))</f>
        <v/>
      </c>
      <c r="B1286">
        <f>IF(A1286="","",LOOKUP(A1286,Basiszins!$A$5:$A$18,Basiszins!$B$5:$B$18))</f>
        <v/>
      </c>
      <c r="C1286">
        <f>IF(A1286="","",B1286+Rechner!$E$7)</f>
        <v/>
      </c>
      <c r="D1286">
        <f>J1285</f>
        <v/>
      </c>
      <c r="E1286">
        <f>IF(A1286="",0,D1286*C1286/100/(DATE(YEAR(A1286)+1,1,1)-DATE(YEAR(A1286),1,1)))</f>
        <v/>
      </c>
      <c r="F1286">
        <f>IF(A1286="",0,SUMIF(Rechner!$A$12:$A$21,A1286,Rechner!$B$12:$B$21))</f>
        <v/>
      </c>
      <c r="G1286">
        <f>H1285+E1286</f>
        <v/>
      </c>
      <c r="H1286">
        <f>G1286-MIN(F1286,G1286)</f>
        <v/>
      </c>
      <c r="I1286">
        <f>MIN(F1286-MIN(F1286,G1286),D1286)</f>
        <v/>
      </c>
      <c r="J1286">
        <f>D1286-I1286</f>
        <v/>
      </c>
      <c r="K1286">
        <f>F1286-MIN(F1286,G1286)-I1286</f>
        <v/>
      </c>
    </row>
    <row r="1287">
      <c r="A1287" s="21">
        <f>IF(Rechner!$E$4&lt;&gt;"ok","",IF(Rechner!$E$5+1285&lt;=Rechner!$B$6,Rechner!$E$5+1285,""))</f>
        <v/>
      </c>
      <c r="B1287">
        <f>IF(A1287="","",LOOKUP(A1287,Basiszins!$A$5:$A$18,Basiszins!$B$5:$B$18))</f>
        <v/>
      </c>
      <c r="C1287">
        <f>IF(A1287="","",B1287+Rechner!$E$7)</f>
        <v/>
      </c>
      <c r="D1287">
        <f>J1286</f>
        <v/>
      </c>
      <c r="E1287">
        <f>IF(A1287="",0,D1287*C1287/100/(DATE(YEAR(A1287)+1,1,1)-DATE(YEAR(A1287),1,1)))</f>
        <v/>
      </c>
      <c r="F1287">
        <f>IF(A1287="",0,SUMIF(Rechner!$A$12:$A$21,A1287,Rechner!$B$12:$B$21))</f>
        <v/>
      </c>
      <c r="G1287">
        <f>H1286+E1287</f>
        <v/>
      </c>
      <c r="H1287">
        <f>G1287-MIN(F1287,G1287)</f>
        <v/>
      </c>
      <c r="I1287">
        <f>MIN(F1287-MIN(F1287,G1287),D1287)</f>
        <v/>
      </c>
      <c r="J1287">
        <f>D1287-I1287</f>
        <v/>
      </c>
      <c r="K1287">
        <f>F1287-MIN(F1287,G1287)-I1287</f>
        <v/>
      </c>
    </row>
    <row r="1288">
      <c r="A1288" s="21">
        <f>IF(Rechner!$E$4&lt;&gt;"ok","",IF(Rechner!$E$5+1286&lt;=Rechner!$B$6,Rechner!$E$5+1286,""))</f>
        <v/>
      </c>
      <c r="B1288">
        <f>IF(A1288="","",LOOKUP(A1288,Basiszins!$A$5:$A$18,Basiszins!$B$5:$B$18))</f>
        <v/>
      </c>
      <c r="C1288">
        <f>IF(A1288="","",B1288+Rechner!$E$7)</f>
        <v/>
      </c>
      <c r="D1288">
        <f>J1287</f>
        <v/>
      </c>
      <c r="E1288">
        <f>IF(A1288="",0,D1288*C1288/100/(DATE(YEAR(A1288)+1,1,1)-DATE(YEAR(A1288),1,1)))</f>
        <v/>
      </c>
      <c r="F1288">
        <f>IF(A1288="",0,SUMIF(Rechner!$A$12:$A$21,A1288,Rechner!$B$12:$B$21))</f>
        <v/>
      </c>
      <c r="G1288">
        <f>H1287+E1288</f>
        <v/>
      </c>
      <c r="H1288">
        <f>G1288-MIN(F1288,G1288)</f>
        <v/>
      </c>
      <c r="I1288">
        <f>MIN(F1288-MIN(F1288,G1288),D1288)</f>
        <v/>
      </c>
      <c r="J1288">
        <f>D1288-I1288</f>
        <v/>
      </c>
      <c r="K1288">
        <f>F1288-MIN(F1288,G1288)-I1288</f>
        <v/>
      </c>
    </row>
    <row r="1289">
      <c r="A1289" s="21">
        <f>IF(Rechner!$E$4&lt;&gt;"ok","",IF(Rechner!$E$5+1287&lt;=Rechner!$B$6,Rechner!$E$5+1287,""))</f>
        <v/>
      </c>
      <c r="B1289">
        <f>IF(A1289="","",LOOKUP(A1289,Basiszins!$A$5:$A$18,Basiszins!$B$5:$B$18))</f>
        <v/>
      </c>
      <c r="C1289">
        <f>IF(A1289="","",B1289+Rechner!$E$7)</f>
        <v/>
      </c>
      <c r="D1289">
        <f>J1288</f>
        <v/>
      </c>
      <c r="E1289">
        <f>IF(A1289="",0,D1289*C1289/100/(DATE(YEAR(A1289)+1,1,1)-DATE(YEAR(A1289),1,1)))</f>
        <v/>
      </c>
      <c r="F1289">
        <f>IF(A1289="",0,SUMIF(Rechner!$A$12:$A$21,A1289,Rechner!$B$12:$B$21))</f>
        <v/>
      </c>
      <c r="G1289">
        <f>H1288+E1289</f>
        <v/>
      </c>
      <c r="H1289">
        <f>G1289-MIN(F1289,G1289)</f>
        <v/>
      </c>
      <c r="I1289">
        <f>MIN(F1289-MIN(F1289,G1289),D1289)</f>
        <v/>
      </c>
      <c r="J1289">
        <f>D1289-I1289</f>
        <v/>
      </c>
      <c r="K1289">
        <f>F1289-MIN(F1289,G1289)-I1289</f>
        <v/>
      </c>
    </row>
    <row r="1290">
      <c r="A1290" s="21">
        <f>IF(Rechner!$E$4&lt;&gt;"ok","",IF(Rechner!$E$5+1288&lt;=Rechner!$B$6,Rechner!$E$5+1288,""))</f>
        <v/>
      </c>
      <c r="B1290">
        <f>IF(A1290="","",LOOKUP(A1290,Basiszins!$A$5:$A$18,Basiszins!$B$5:$B$18))</f>
        <v/>
      </c>
      <c r="C1290">
        <f>IF(A1290="","",B1290+Rechner!$E$7)</f>
        <v/>
      </c>
      <c r="D1290">
        <f>J1289</f>
        <v/>
      </c>
      <c r="E1290">
        <f>IF(A1290="",0,D1290*C1290/100/(DATE(YEAR(A1290)+1,1,1)-DATE(YEAR(A1290),1,1)))</f>
        <v/>
      </c>
      <c r="F1290">
        <f>IF(A1290="",0,SUMIF(Rechner!$A$12:$A$21,A1290,Rechner!$B$12:$B$21))</f>
        <v/>
      </c>
      <c r="G1290">
        <f>H1289+E1290</f>
        <v/>
      </c>
      <c r="H1290">
        <f>G1290-MIN(F1290,G1290)</f>
        <v/>
      </c>
      <c r="I1290">
        <f>MIN(F1290-MIN(F1290,G1290),D1290)</f>
        <v/>
      </c>
      <c r="J1290">
        <f>D1290-I1290</f>
        <v/>
      </c>
      <c r="K1290">
        <f>F1290-MIN(F1290,G1290)-I1290</f>
        <v/>
      </c>
    </row>
    <row r="1291">
      <c r="A1291" s="21">
        <f>IF(Rechner!$E$4&lt;&gt;"ok","",IF(Rechner!$E$5+1289&lt;=Rechner!$B$6,Rechner!$E$5+1289,""))</f>
        <v/>
      </c>
      <c r="B1291">
        <f>IF(A1291="","",LOOKUP(A1291,Basiszins!$A$5:$A$18,Basiszins!$B$5:$B$18))</f>
        <v/>
      </c>
      <c r="C1291">
        <f>IF(A1291="","",B1291+Rechner!$E$7)</f>
        <v/>
      </c>
      <c r="D1291">
        <f>J1290</f>
        <v/>
      </c>
      <c r="E1291">
        <f>IF(A1291="",0,D1291*C1291/100/(DATE(YEAR(A1291)+1,1,1)-DATE(YEAR(A1291),1,1)))</f>
        <v/>
      </c>
      <c r="F1291">
        <f>IF(A1291="",0,SUMIF(Rechner!$A$12:$A$21,A1291,Rechner!$B$12:$B$21))</f>
        <v/>
      </c>
      <c r="G1291">
        <f>H1290+E1291</f>
        <v/>
      </c>
      <c r="H1291">
        <f>G1291-MIN(F1291,G1291)</f>
        <v/>
      </c>
      <c r="I1291">
        <f>MIN(F1291-MIN(F1291,G1291),D1291)</f>
        <v/>
      </c>
      <c r="J1291">
        <f>D1291-I1291</f>
        <v/>
      </c>
      <c r="K1291">
        <f>F1291-MIN(F1291,G1291)-I1291</f>
        <v/>
      </c>
    </row>
    <row r="1292">
      <c r="A1292" s="21">
        <f>IF(Rechner!$E$4&lt;&gt;"ok","",IF(Rechner!$E$5+1290&lt;=Rechner!$B$6,Rechner!$E$5+1290,""))</f>
        <v/>
      </c>
      <c r="B1292">
        <f>IF(A1292="","",LOOKUP(A1292,Basiszins!$A$5:$A$18,Basiszins!$B$5:$B$18))</f>
        <v/>
      </c>
      <c r="C1292">
        <f>IF(A1292="","",B1292+Rechner!$E$7)</f>
        <v/>
      </c>
      <c r="D1292">
        <f>J1291</f>
        <v/>
      </c>
      <c r="E1292">
        <f>IF(A1292="",0,D1292*C1292/100/(DATE(YEAR(A1292)+1,1,1)-DATE(YEAR(A1292),1,1)))</f>
        <v/>
      </c>
      <c r="F1292">
        <f>IF(A1292="",0,SUMIF(Rechner!$A$12:$A$21,A1292,Rechner!$B$12:$B$21))</f>
        <v/>
      </c>
      <c r="G1292">
        <f>H1291+E1292</f>
        <v/>
      </c>
      <c r="H1292">
        <f>G1292-MIN(F1292,G1292)</f>
        <v/>
      </c>
      <c r="I1292">
        <f>MIN(F1292-MIN(F1292,G1292),D1292)</f>
        <v/>
      </c>
      <c r="J1292">
        <f>D1292-I1292</f>
        <v/>
      </c>
      <c r="K1292">
        <f>F1292-MIN(F1292,G1292)-I1292</f>
        <v/>
      </c>
    </row>
    <row r="1293">
      <c r="A1293" s="21">
        <f>IF(Rechner!$E$4&lt;&gt;"ok","",IF(Rechner!$E$5+1291&lt;=Rechner!$B$6,Rechner!$E$5+1291,""))</f>
        <v/>
      </c>
      <c r="B1293">
        <f>IF(A1293="","",LOOKUP(A1293,Basiszins!$A$5:$A$18,Basiszins!$B$5:$B$18))</f>
        <v/>
      </c>
      <c r="C1293">
        <f>IF(A1293="","",B1293+Rechner!$E$7)</f>
        <v/>
      </c>
      <c r="D1293">
        <f>J1292</f>
        <v/>
      </c>
      <c r="E1293">
        <f>IF(A1293="",0,D1293*C1293/100/(DATE(YEAR(A1293)+1,1,1)-DATE(YEAR(A1293),1,1)))</f>
        <v/>
      </c>
      <c r="F1293">
        <f>IF(A1293="",0,SUMIF(Rechner!$A$12:$A$21,A1293,Rechner!$B$12:$B$21))</f>
        <v/>
      </c>
      <c r="G1293">
        <f>H1292+E1293</f>
        <v/>
      </c>
      <c r="H1293">
        <f>G1293-MIN(F1293,G1293)</f>
        <v/>
      </c>
      <c r="I1293">
        <f>MIN(F1293-MIN(F1293,G1293),D1293)</f>
        <v/>
      </c>
      <c r="J1293">
        <f>D1293-I1293</f>
        <v/>
      </c>
      <c r="K1293">
        <f>F1293-MIN(F1293,G1293)-I1293</f>
        <v/>
      </c>
    </row>
    <row r="1294">
      <c r="A1294" s="21">
        <f>IF(Rechner!$E$4&lt;&gt;"ok","",IF(Rechner!$E$5+1292&lt;=Rechner!$B$6,Rechner!$E$5+1292,""))</f>
        <v/>
      </c>
      <c r="B1294">
        <f>IF(A1294="","",LOOKUP(A1294,Basiszins!$A$5:$A$18,Basiszins!$B$5:$B$18))</f>
        <v/>
      </c>
      <c r="C1294">
        <f>IF(A1294="","",B1294+Rechner!$E$7)</f>
        <v/>
      </c>
      <c r="D1294">
        <f>J1293</f>
        <v/>
      </c>
      <c r="E1294">
        <f>IF(A1294="",0,D1294*C1294/100/(DATE(YEAR(A1294)+1,1,1)-DATE(YEAR(A1294),1,1)))</f>
        <v/>
      </c>
      <c r="F1294">
        <f>IF(A1294="",0,SUMIF(Rechner!$A$12:$A$21,A1294,Rechner!$B$12:$B$21))</f>
        <v/>
      </c>
      <c r="G1294">
        <f>H1293+E1294</f>
        <v/>
      </c>
      <c r="H1294">
        <f>G1294-MIN(F1294,G1294)</f>
        <v/>
      </c>
      <c r="I1294">
        <f>MIN(F1294-MIN(F1294,G1294),D1294)</f>
        <v/>
      </c>
      <c r="J1294">
        <f>D1294-I1294</f>
        <v/>
      </c>
      <c r="K1294">
        <f>F1294-MIN(F1294,G1294)-I1294</f>
        <v/>
      </c>
    </row>
    <row r="1295">
      <c r="A1295" s="21">
        <f>IF(Rechner!$E$4&lt;&gt;"ok","",IF(Rechner!$E$5+1293&lt;=Rechner!$B$6,Rechner!$E$5+1293,""))</f>
        <v/>
      </c>
      <c r="B1295">
        <f>IF(A1295="","",LOOKUP(A1295,Basiszins!$A$5:$A$18,Basiszins!$B$5:$B$18))</f>
        <v/>
      </c>
      <c r="C1295">
        <f>IF(A1295="","",B1295+Rechner!$E$7)</f>
        <v/>
      </c>
      <c r="D1295">
        <f>J1294</f>
        <v/>
      </c>
      <c r="E1295">
        <f>IF(A1295="",0,D1295*C1295/100/(DATE(YEAR(A1295)+1,1,1)-DATE(YEAR(A1295),1,1)))</f>
        <v/>
      </c>
      <c r="F1295">
        <f>IF(A1295="",0,SUMIF(Rechner!$A$12:$A$21,A1295,Rechner!$B$12:$B$21))</f>
        <v/>
      </c>
      <c r="G1295">
        <f>H1294+E1295</f>
        <v/>
      </c>
      <c r="H1295">
        <f>G1295-MIN(F1295,G1295)</f>
        <v/>
      </c>
      <c r="I1295">
        <f>MIN(F1295-MIN(F1295,G1295),D1295)</f>
        <v/>
      </c>
      <c r="J1295">
        <f>D1295-I1295</f>
        <v/>
      </c>
      <c r="K1295">
        <f>F1295-MIN(F1295,G1295)-I1295</f>
        <v/>
      </c>
    </row>
    <row r="1296">
      <c r="A1296" s="21">
        <f>IF(Rechner!$E$4&lt;&gt;"ok","",IF(Rechner!$E$5+1294&lt;=Rechner!$B$6,Rechner!$E$5+1294,""))</f>
        <v/>
      </c>
      <c r="B1296">
        <f>IF(A1296="","",LOOKUP(A1296,Basiszins!$A$5:$A$18,Basiszins!$B$5:$B$18))</f>
        <v/>
      </c>
      <c r="C1296">
        <f>IF(A1296="","",B1296+Rechner!$E$7)</f>
        <v/>
      </c>
      <c r="D1296">
        <f>J1295</f>
        <v/>
      </c>
      <c r="E1296">
        <f>IF(A1296="",0,D1296*C1296/100/(DATE(YEAR(A1296)+1,1,1)-DATE(YEAR(A1296),1,1)))</f>
        <v/>
      </c>
      <c r="F1296">
        <f>IF(A1296="",0,SUMIF(Rechner!$A$12:$A$21,A1296,Rechner!$B$12:$B$21))</f>
        <v/>
      </c>
      <c r="G1296">
        <f>H1295+E1296</f>
        <v/>
      </c>
      <c r="H1296">
        <f>G1296-MIN(F1296,G1296)</f>
        <v/>
      </c>
      <c r="I1296">
        <f>MIN(F1296-MIN(F1296,G1296),D1296)</f>
        <v/>
      </c>
      <c r="J1296">
        <f>D1296-I1296</f>
        <v/>
      </c>
      <c r="K1296">
        <f>F1296-MIN(F1296,G1296)-I1296</f>
        <v/>
      </c>
    </row>
    <row r="1297">
      <c r="A1297" s="21">
        <f>IF(Rechner!$E$4&lt;&gt;"ok","",IF(Rechner!$E$5+1295&lt;=Rechner!$B$6,Rechner!$E$5+1295,""))</f>
        <v/>
      </c>
      <c r="B1297">
        <f>IF(A1297="","",LOOKUP(A1297,Basiszins!$A$5:$A$18,Basiszins!$B$5:$B$18))</f>
        <v/>
      </c>
      <c r="C1297">
        <f>IF(A1297="","",B1297+Rechner!$E$7)</f>
        <v/>
      </c>
      <c r="D1297">
        <f>J1296</f>
        <v/>
      </c>
      <c r="E1297">
        <f>IF(A1297="",0,D1297*C1297/100/(DATE(YEAR(A1297)+1,1,1)-DATE(YEAR(A1297),1,1)))</f>
        <v/>
      </c>
      <c r="F1297">
        <f>IF(A1297="",0,SUMIF(Rechner!$A$12:$A$21,A1297,Rechner!$B$12:$B$21))</f>
        <v/>
      </c>
      <c r="G1297">
        <f>H1296+E1297</f>
        <v/>
      </c>
      <c r="H1297">
        <f>G1297-MIN(F1297,G1297)</f>
        <v/>
      </c>
      <c r="I1297">
        <f>MIN(F1297-MIN(F1297,G1297),D1297)</f>
        <v/>
      </c>
      <c r="J1297">
        <f>D1297-I1297</f>
        <v/>
      </c>
      <c r="K1297">
        <f>F1297-MIN(F1297,G1297)-I1297</f>
        <v/>
      </c>
    </row>
    <row r="1298">
      <c r="A1298" s="21">
        <f>IF(Rechner!$E$4&lt;&gt;"ok","",IF(Rechner!$E$5+1296&lt;=Rechner!$B$6,Rechner!$E$5+1296,""))</f>
        <v/>
      </c>
      <c r="B1298">
        <f>IF(A1298="","",LOOKUP(A1298,Basiszins!$A$5:$A$18,Basiszins!$B$5:$B$18))</f>
        <v/>
      </c>
      <c r="C1298">
        <f>IF(A1298="","",B1298+Rechner!$E$7)</f>
        <v/>
      </c>
      <c r="D1298">
        <f>J1297</f>
        <v/>
      </c>
      <c r="E1298">
        <f>IF(A1298="",0,D1298*C1298/100/(DATE(YEAR(A1298)+1,1,1)-DATE(YEAR(A1298),1,1)))</f>
        <v/>
      </c>
      <c r="F1298">
        <f>IF(A1298="",0,SUMIF(Rechner!$A$12:$A$21,A1298,Rechner!$B$12:$B$21))</f>
        <v/>
      </c>
      <c r="G1298">
        <f>H1297+E1298</f>
        <v/>
      </c>
      <c r="H1298">
        <f>G1298-MIN(F1298,G1298)</f>
        <v/>
      </c>
      <c r="I1298">
        <f>MIN(F1298-MIN(F1298,G1298),D1298)</f>
        <v/>
      </c>
      <c r="J1298">
        <f>D1298-I1298</f>
        <v/>
      </c>
      <c r="K1298">
        <f>F1298-MIN(F1298,G1298)-I1298</f>
        <v/>
      </c>
    </row>
    <row r="1299">
      <c r="A1299" s="21">
        <f>IF(Rechner!$E$4&lt;&gt;"ok","",IF(Rechner!$E$5+1297&lt;=Rechner!$B$6,Rechner!$E$5+1297,""))</f>
        <v/>
      </c>
      <c r="B1299">
        <f>IF(A1299="","",LOOKUP(A1299,Basiszins!$A$5:$A$18,Basiszins!$B$5:$B$18))</f>
        <v/>
      </c>
      <c r="C1299">
        <f>IF(A1299="","",B1299+Rechner!$E$7)</f>
        <v/>
      </c>
      <c r="D1299">
        <f>J1298</f>
        <v/>
      </c>
      <c r="E1299">
        <f>IF(A1299="",0,D1299*C1299/100/(DATE(YEAR(A1299)+1,1,1)-DATE(YEAR(A1299),1,1)))</f>
        <v/>
      </c>
      <c r="F1299">
        <f>IF(A1299="",0,SUMIF(Rechner!$A$12:$A$21,A1299,Rechner!$B$12:$B$21))</f>
        <v/>
      </c>
      <c r="G1299">
        <f>H1298+E1299</f>
        <v/>
      </c>
      <c r="H1299">
        <f>G1299-MIN(F1299,G1299)</f>
        <v/>
      </c>
      <c r="I1299">
        <f>MIN(F1299-MIN(F1299,G1299),D1299)</f>
        <v/>
      </c>
      <c r="J1299">
        <f>D1299-I1299</f>
        <v/>
      </c>
      <c r="K1299">
        <f>F1299-MIN(F1299,G1299)-I1299</f>
        <v/>
      </c>
    </row>
    <row r="1300">
      <c r="A1300" s="21">
        <f>IF(Rechner!$E$4&lt;&gt;"ok","",IF(Rechner!$E$5+1298&lt;=Rechner!$B$6,Rechner!$E$5+1298,""))</f>
        <v/>
      </c>
      <c r="B1300">
        <f>IF(A1300="","",LOOKUP(A1300,Basiszins!$A$5:$A$18,Basiszins!$B$5:$B$18))</f>
        <v/>
      </c>
      <c r="C1300">
        <f>IF(A1300="","",B1300+Rechner!$E$7)</f>
        <v/>
      </c>
      <c r="D1300">
        <f>J1299</f>
        <v/>
      </c>
      <c r="E1300">
        <f>IF(A1300="",0,D1300*C1300/100/(DATE(YEAR(A1300)+1,1,1)-DATE(YEAR(A1300),1,1)))</f>
        <v/>
      </c>
      <c r="F1300">
        <f>IF(A1300="",0,SUMIF(Rechner!$A$12:$A$21,A1300,Rechner!$B$12:$B$21))</f>
        <v/>
      </c>
      <c r="G1300">
        <f>H1299+E1300</f>
        <v/>
      </c>
      <c r="H1300">
        <f>G1300-MIN(F1300,G1300)</f>
        <v/>
      </c>
      <c r="I1300">
        <f>MIN(F1300-MIN(F1300,G1300),D1300)</f>
        <v/>
      </c>
      <c r="J1300">
        <f>D1300-I1300</f>
        <v/>
      </c>
      <c r="K1300">
        <f>F1300-MIN(F1300,G1300)-I1300</f>
        <v/>
      </c>
    </row>
    <row r="1301">
      <c r="A1301" s="21">
        <f>IF(Rechner!$E$4&lt;&gt;"ok","",IF(Rechner!$E$5+1299&lt;=Rechner!$B$6,Rechner!$E$5+1299,""))</f>
        <v/>
      </c>
      <c r="B1301">
        <f>IF(A1301="","",LOOKUP(A1301,Basiszins!$A$5:$A$18,Basiszins!$B$5:$B$18))</f>
        <v/>
      </c>
      <c r="C1301">
        <f>IF(A1301="","",B1301+Rechner!$E$7)</f>
        <v/>
      </c>
      <c r="D1301">
        <f>J1300</f>
        <v/>
      </c>
      <c r="E1301">
        <f>IF(A1301="",0,D1301*C1301/100/(DATE(YEAR(A1301)+1,1,1)-DATE(YEAR(A1301),1,1)))</f>
        <v/>
      </c>
      <c r="F1301">
        <f>IF(A1301="",0,SUMIF(Rechner!$A$12:$A$21,A1301,Rechner!$B$12:$B$21))</f>
        <v/>
      </c>
      <c r="G1301">
        <f>H1300+E1301</f>
        <v/>
      </c>
      <c r="H1301">
        <f>G1301-MIN(F1301,G1301)</f>
        <v/>
      </c>
      <c r="I1301">
        <f>MIN(F1301-MIN(F1301,G1301),D1301)</f>
        <v/>
      </c>
      <c r="J1301">
        <f>D1301-I1301</f>
        <v/>
      </c>
      <c r="K1301">
        <f>F1301-MIN(F1301,G1301)-I1301</f>
        <v/>
      </c>
    </row>
    <row r="1302">
      <c r="A1302" s="21">
        <f>IF(Rechner!$E$4&lt;&gt;"ok","",IF(Rechner!$E$5+1300&lt;=Rechner!$B$6,Rechner!$E$5+1300,""))</f>
        <v/>
      </c>
      <c r="B1302">
        <f>IF(A1302="","",LOOKUP(A1302,Basiszins!$A$5:$A$18,Basiszins!$B$5:$B$18))</f>
        <v/>
      </c>
      <c r="C1302">
        <f>IF(A1302="","",B1302+Rechner!$E$7)</f>
        <v/>
      </c>
      <c r="D1302">
        <f>J1301</f>
        <v/>
      </c>
      <c r="E1302">
        <f>IF(A1302="",0,D1302*C1302/100/(DATE(YEAR(A1302)+1,1,1)-DATE(YEAR(A1302),1,1)))</f>
        <v/>
      </c>
      <c r="F1302">
        <f>IF(A1302="",0,SUMIF(Rechner!$A$12:$A$21,A1302,Rechner!$B$12:$B$21))</f>
        <v/>
      </c>
      <c r="G1302">
        <f>H1301+E1302</f>
        <v/>
      </c>
      <c r="H1302">
        <f>G1302-MIN(F1302,G1302)</f>
        <v/>
      </c>
      <c r="I1302">
        <f>MIN(F1302-MIN(F1302,G1302),D1302)</f>
        <v/>
      </c>
      <c r="J1302">
        <f>D1302-I1302</f>
        <v/>
      </c>
      <c r="K1302">
        <f>F1302-MIN(F1302,G1302)-I1302</f>
        <v/>
      </c>
    </row>
    <row r="1303">
      <c r="A1303" s="21">
        <f>IF(Rechner!$E$4&lt;&gt;"ok","",IF(Rechner!$E$5+1301&lt;=Rechner!$B$6,Rechner!$E$5+1301,""))</f>
        <v/>
      </c>
      <c r="B1303">
        <f>IF(A1303="","",LOOKUP(A1303,Basiszins!$A$5:$A$18,Basiszins!$B$5:$B$18))</f>
        <v/>
      </c>
      <c r="C1303">
        <f>IF(A1303="","",B1303+Rechner!$E$7)</f>
        <v/>
      </c>
      <c r="D1303">
        <f>J1302</f>
        <v/>
      </c>
      <c r="E1303">
        <f>IF(A1303="",0,D1303*C1303/100/(DATE(YEAR(A1303)+1,1,1)-DATE(YEAR(A1303),1,1)))</f>
        <v/>
      </c>
      <c r="F1303">
        <f>IF(A1303="",0,SUMIF(Rechner!$A$12:$A$21,A1303,Rechner!$B$12:$B$21))</f>
        <v/>
      </c>
      <c r="G1303">
        <f>H1302+E1303</f>
        <v/>
      </c>
      <c r="H1303">
        <f>G1303-MIN(F1303,G1303)</f>
        <v/>
      </c>
      <c r="I1303">
        <f>MIN(F1303-MIN(F1303,G1303),D1303)</f>
        <v/>
      </c>
      <c r="J1303">
        <f>D1303-I1303</f>
        <v/>
      </c>
      <c r="K1303">
        <f>F1303-MIN(F1303,G1303)-I1303</f>
        <v/>
      </c>
    </row>
    <row r="1304">
      <c r="A1304" s="21">
        <f>IF(Rechner!$E$4&lt;&gt;"ok","",IF(Rechner!$E$5+1302&lt;=Rechner!$B$6,Rechner!$E$5+1302,""))</f>
        <v/>
      </c>
      <c r="B1304">
        <f>IF(A1304="","",LOOKUP(A1304,Basiszins!$A$5:$A$18,Basiszins!$B$5:$B$18))</f>
        <v/>
      </c>
      <c r="C1304">
        <f>IF(A1304="","",B1304+Rechner!$E$7)</f>
        <v/>
      </c>
      <c r="D1304">
        <f>J1303</f>
        <v/>
      </c>
      <c r="E1304">
        <f>IF(A1304="",0,D1304*C1304/100/(DATE(YEAR(A1304)+1,1,1)-DATE(YEAR(A1304),1,1)))</f>
        <v/>
      </c>
      <c r="F1304">
        <f>IF(A1304="",0,SUMIF(Rechner!$A$12:$A$21,A1304,Rechner!$B$12:$B$21))</f>
        <v/>
      </c>
      <c r="G1304">
        <f>H1303+E1304</f>
        <v/>
      </c>
      <c r="H1304">
        <f>G1304-MIN(F1304,G1304)</f>
        <v/>
      </c>
      <c r="I1304">
        <f>MIN(F1304-MIN(F1304,G1304),D1304)</f>
        <v/>
      </c>
      <c r="J1304">
        <f>D1304-I1304</f>
        <v/>
      </c>
      <c r="K1304">
        <f>F1304-MIN(F1304,G1304)-I1304</f>
        <v/>
      </c>
    </row>
    <row r="1305">
      <c r="A1305" s="21">
        <f>IF(Rechner!$E$4&lt;&gt;"ok","",IF(Rechner!$E$5+1303&lt;=Rechner!$B$6,Rechner!$E$5+1303,""))</f>
        <v/>
      </c>
      <c r="B1305">
        <f>IF(A1305="","",LOOKUP(A1305,Basiszins!$A$5:$A$18,Basiszins!$B$5:$B$18))</f>
        <v/>
      </c>
      <c r="C1305">
        <f>IF(A1305="","",B1305+Rechner!$E$7)</f>
        <v/>
      </c>
      <c r="D1305">
        <f>J1304</f>
        <v/>
      </c>
      <c r="E1305">
        <f>IF(A1305="",0,D1305*C1305/100/(DATE(YEAR(A1305)+1,1,1)-DATE(YEAR(A1305),1,1)))</f>
        <v/>
      </c>
      <c r="F1305">
        <f>IF(A1305="",0,SUMIF(Rechner!$A$12:$A$21,A1305,Rechner!$B$12:$B$21))</f>
        <v/>
      </c>
      <c r="G1305">
        <f>H1304+E1305</f>
        <v/>
      </c>
      <c r="H1305">
        <f>G1305-MIN(F1305,G1305)</f>
        <v/>
      </c>
      <c r="I1305">
        <f>MIN(F1305-MIN(F1305,G1305),D1305)</f>
        <v/>
      </c>
      <c r="J1305">
        <f>D1305-I1305</f>
        <v/>
      </c>
      <c r="K1305">
        <f>F1305-MIN(F1305,G1305)-I1305</f>
        <v/>
      </c>
    </row>
    <row r="1306">
      <c r="A1306" s="21">
        <f>IF(Rechner!$E$4&lt;&gt;"ok","",IF(Rechner!$E$5+1304&lt;=Rechner!$B$6,Rechner!$E$5+1304,""))</f>
        <v/>
      </c>
      <c r="B1306">
        <f>IF(A1306="","",LOOKUP(A1306,Basiszins!$A$5:$A$18,Basiszins!$B$5:$B$18))</f>
        <v/>
      </c>
      <c r="C1306">
        <f>IF(A1306="","",B1306+Rechner!$E$7)</f>
        <v/>
      </c>
      <c r="D1306">
        <f>J1305</f>
        <v/>
      </c>
      <c r="E1306">
        <f>IF(A1306="",0,D1306*C1306/100/(DATE(YEAR(A1306)+1,1,1)-DATE(YEAR(A1306),1,1)))</f>
        <v/>
      </c>
      <c r="F1306">
        <f>IF(A1306="",0,SUMIF(Rechner!$A$12:$A$21,A1306,Rechner!$B$12:$B$21))</f>
        <v/>
      </c>
      <c r="G1306">
        <f>H1305+E1306</f>
        <v/>
      </c>
      <c r="H1306">
        <f>G1306-MIN(F1306,G1306)</f>
        <v/>
      </c>
      <c r="I1306">
        <f>MIN(F1306-MIN(F1306,G1306),D1306)</f>
        <v/>
      </c>
      <c r="J1306">
        <f>D1306-I1306</f>
        <v/>
      </c>
      <c r="K1306">
        <f>F1306-MIN(F1306,G1306)-I1306</f>
        <v/>
      </c>
    </row>
    <row r="1307">
      <c r="A1307" s="21">
        <f>IF(Rechner!$E$4&lt;&gt;"ok","",IF(Rechner!$E$5+1305&lt;=Rechner!$B$6,Rechner!$E$5+1305,""))</f>
        <v/>
      </c>
      <c r="B1307">
        <f>IF(A1307="","",LOOKUP(A1307,Basiszins!$A$5:$A$18,Basiszins!$B$5:$B$18))</f>
        <v/>
      </c>
      <c r="C1307">
        <f>IF(A1307="","",B1307+Rechner!$E$7)</f>
        <v/>
      </c>
      <c r="D1307">
        <f>J1306</f>
        <v/>
      </c>
      <c r="E1307">
        <f>IF(A1307="",0,D1307*C1307/100/(DATE(YEAR(A1307)+1,1,1)-DATE(YEAR(A1307),1,1)))</f>
        <v/>
      </c>
      <c r="F1307">
        <f>IF(A1307="",0,SUMIF(Rechner!$A$12:$A$21,A1307,Rechner!$B$12:$B$21))</f>
        <v/>
      </c>
      <c r="G1307">
        <f>H1306+E1307</f>
        <v/>
      </c>
      <c r="H1307">
        <f>G1307-MIN(F1307,G1307)</f>
        <v/>
      </c>
      <c r="I1307">
        <f>MIN(F1307-MIN(F1307,G1307),D1307)</f>
        <v/>
      </c>
      <c r="J1307">
        <f>D1307-I1307</f>
        <v/>
      </c>
      <c r="K1307">
        <f>F1307-MIN(F1307,G1307)-I1307</f>
        <v/>
      </c>
    </row>
    <row r="1308">
      <c r="A1308" s="21">
        <f>IF(Rechner!$E$4&lt;&gt;"ok","",IF(Rechner!$E$5+1306&lt;=Rechner!$B$6,Rechner!$E$5+1306,""))</f>
        <v/>
      </c>
      <c r="B1308">
        <f>IF(A1308="","",LOOKUP(A1308,Basiszins!$A$5:$A$18,Basiszins!$B$5:$B$18))</f>
        <v/>
      </c>
      <c r="C1308">
        <f>IF(A1308="","",B1308+Rechner!$E$7)</f>
        <v/>
      </c>
      <c r="D1308">
        <f>J1307</f>
        <v/>
      </c>
      <c r="E1308">
        <f>IF(A1308="",0,D1308*C1308/100/(DATE(YEAR(A1308)+1,1,1)-DATE(YEAR(A1308),1,1)))</f>
        <v/>
      </c>
      <c r="F1308">
        <f>IF(A1308="",0,SUMIF(Rechner!$A$12:$A$21,A1308,Rechner!$B$12:$B$21))</f>
        <v/>
      </c>
      <c r="G1308">
        <f>H1307+E1308</f>
        <v/>
      </c>
      <c r="H1308">
        <f>G1308-MIN(F1308,G1308)</f>
        <v/>
      </c>
      <c r="I1308">
        <f>MIN(F1308-MIN(F1308,G1308),D1308)</f>
        <v/>
      </c>
      <c r="J1308">
        <f>D1308-I1308</f>
        <v/>
      </c>
      <c r="K1308">
        <f>F1308-MIN(F1308,G1308)-I1308</f>
        <v/>
      </c>
    </row>
    <row r="1309">
      <c r="A1309" s="21">
        <f>IF(Rechner!$E$4&lt;&gt;"ok","",IF(Rechner!$E$5+1307&lt;=Rechner!$B$6,Rechner!$E$5+1307,""))</f>
        <v/>
      </c>
      <c r="B1309">
        <f>IF(A1309="","",LOOKUP(A1309,Basiszins!$A$5:$A$18,Basiszins!$B$5:$B$18))</f>
        <v/>
      </c>
      <c r="C1309">
        <f>IF(A1309="","",B1309+Rechner!$E$7)</f>
        <v/>
      </c>
      <c r="D1309">
        <f>J1308</f>
        <v/>
      </c>
      <c r="E1309">
        <f>IF(A1309="",0,D1309*C1309/100/(DATE(YEAR(A1309)+1,1,1)-DATE(YEAR(A1309),1,1)))</f>
        <v/>
      </c>
      <c r="F1309">
        <f>IF(A1309="",0,SUMIF(Rechner!$A$12:$A$21,A1309,Rechner!$B$12:$B$21))</f>
        <v/>
      </c>
      <c r="G1309">
        <f>H1308+E1309</f>
        <v/>
      </c>
      <c r="H1309">
        <f>G1309-MIN(F1309,G1309)</f>
        <v/>
      </c>
      <c r="I1309">
        <f>MIN(F1309-MIN(F1309,G1309),D1309)</f>
        <v/>
      </c>
      <c r="J1309">
        <f>D1309-I1309</f>
        <v/>
      </c>
      <c r="K1309">
        <f>F1309-MIN(F1309,G1309)-I1309</f>
        <v/>
      </c>
    </row>
    <row r="1310">
      <c r="A1310" s="21">
        <f>IF(Rechner!$E$4&lt;&gt;"ok","",IF(Rechner!$E$5+1308&lt;=Rechner!$B$6,Rechner!$E$5+1308,""))</f>
        <v/>
      </c>
      <c r="B1310">
        <f>IF(A1310="","",LOOKUP(A1310,Basiszins!$A$5:$A$18,Basiszins!$B$5:$B$18))</f>
        <v/>
      </c>
      <c r="C1310">
        <f>IF(A1310="","",B1310+Rechner!$E$7)</f>
        <v/>
      </c>
      <c r="D1310">
        <f>J1309</f>
        <v/>
      </c>
      <c r="E1310">
        <f>IF(A1310="",0,D1310*C1310/100/(DATE(YEAR(A1310)+1,1,1)-DATE(YEAR(A1310),1,1)))</f>
        <v/>
      </c>
      <c r="F1310">
        <f>IF(A1310="",0,SUMIF(Rechner!$A$12:$A$21,A1310,Rechner!$B$12:$B$21))</f>
        <v/>
      </c>
      <c r="G1310">
        <f>H1309+E1310</f>
        <v/>
      </c>
      <c r="H1310">
        <f>G1310-MIN(F1310,G1310)</f>
        <v/>
      </c>
      <c r="I1310">
        <f>MIN(F1310-MIN(F1310,G1310),D1310)</f>
        <v/>
      </c>
      <c r="J1310">
        <f>D1310-I1310</f>
        <v/>
      </c>
      <c r="K1310">
        <f>F1310-MIN(F1310,G1310)-I1310</f>
        <v/>
      </c>
    </row>
    <row r="1311">
      <c r="A1311" s="21">
        <f>IF(Rechner!$E$4&lt;&gt;"ok","",IF(Rechner!$E$5+1309&lt;=Rechner!$B$6,Rechner!$E$5+1309,""))</f>
        <v/>
      </c>
      <c r="B1311">
        <f>IF(A1311="","",LOOKUP(A1311,Basiszins!$A$5:$A$18,Basiszins!$B$5:$B$18))</f>
        <v/>
      </c>
      <c r="C1311">
        <f>IF(A1311="","",B1311+Rechner!$E$7)</f>
        <v/>
      </c>
      <c r="D1311">
        <f>J1310</f>
        <v/>
      </c>
      <c r="E1311">
        <f>IF(A1311="",0,D1311*C1311/100/(DATE(YEAR(A1311)+1,1,1)-DATE(YEAR(A1311),1,1)))</f>
        <v/>
      </c>
      <c r="F1311">
        <f>IF(A1311="",0,SUMIF(Rechner!$A$12:$A$21,A1311,Rechner!$B$12:$B$21))</f>
        <v/>
      </c>
      <c r="G1311">
        <f>H1310+E1311</f>
        <v/>
      </c>
      <c r="H1311">
        <f>G1311-MIN(F1311,G1311)</f>
        <v/>
      </c>
      <c r="I1311">
        <f>MIN(F1311-MIN(F1311,G1311),D1311)</f>
        <v/>
      </c>
      <c r="J1311">
        <f>D1311-I1311</f>
        <v/>
      </c>
      <c r="K1311">
        <f>F1311-MIN(F1311,G1311)-I1311</f>
        <v/>
      </c>
    </row>
    <row r="1312">
      <c r="A1312" s="21">
        <f>IF(Rechner!$E$4&lt;&gt;"ok","",IF(Rechner!$E$5+1310&lt;=Rechner!$B$6,Rechner!$E$5+1310,""))</f>
        <v/>
      </c>
      <c r="B1312">
        <f>IF(A1312="","",LOOKUP(A1312,Basiszins!$A$5:$A$18,Basiszins!$B$5:$B$18))</f>
        <v/>
      </c>
      <c r="C1312">
        <f>IF(A1312="","",B1312+Rechner!$E$7)</f>
        <v/>
      </c>
      <c r="D1312">
        <f>J1311</f>
        <v/>
      </c>
      <c r="E1312">
        <f>IF(A1312="",0,D1312*C1312/100/(DATE(YEAR(A1312)+1,1,1)-DATE(YEAR(A1312),1,1)))</f>
        <v/>
      </c>
      <c r="F1312">
        <f>IF(A1312="",0,SUMIF(Rechner!$A$12:$A$21,A1312,Rechner!$B$12:$B$21))</f>
        <v/>
      </c>
      <c r="G1312">
        <f>H1311+E1312</f>
        <v/>
      </c>
      <c r="H1312">
        <f>G1312-MIN(F1312,G1312)</f>
        <v/>
      </c>
      <c r="I1312">
        <f>MIN(F1312-MIN(F1312,G1312),D1312)</f>
        <v/>
      </c>
      <c r="J1312">
        <f>D1312-I1312</f>
        <v/>
      </c>
      <c r="K1312">
        <f>F1312-MIN(F1312,G1312)-I1312</f>
        <v/>
      </c>
    </row>
    <row r="1313">
      <c r="A1313" s="21">
        <f>IF(Rechner!$E$4&lt;&gt;"ok","",IF(Rechner!$E$5+1311&lt;=Rechner!$B$6,Rechner!$E$5+1311,""))</f>
        <v/>
      </c>
      <c r="B1313">
        <f>IF(A1313="","",LOOKUP(A1313,Basiszins!$A$5:$A$18,Basiszins!$B$5:$B$18))</f>
        <v/>
      </c>
      <c r="C1313">
        <f>IF(A1313="","",B1313+Rechner!$E$7)</f>
        <v/>
      </c>
      <c r="D1313">
        <f>J1312</f>
        <v/>
      </c>
      <c r="E1313">
        <f>IF(A1313="",0,D1313*C1313/100/(DATE(YEAR(A1313)+1,1,1)-DATE(YEAR(A1313),1,1)))</f>
        <v/>
      </c>
      <c r="F1313">
        <f>IF(A1313="",0,SUMIF(Rechner!$A$12:$A$21,A1313,Rechner!$B$12:$B$21))</f>
        <v/>
      </c>
      <c r="G1313">
        <f>H1312+E1313</f>
        <v/>
      </c>
      <c r="H1313">
        <f>G1313-MIN(F1313,G1313)</f>
        <v/>
      </c>
      <c r="I1313">
        <f>MIN(F1313-MIN(F1313,G1313),D1313)</f>
        <v/>
      </c>
      <c r="J1313">
        <f>D1313-I1313</f>
        <v/>
      </c>
      <c r="K1313">
        <f>F1313-MIN(F1313,G1313)-I1313</f>
        <v/>
      </c>
    </row>
    <row r="1314">
      <c r="A1314" s="21">
        <f>IF(Rechner!$E$4&lt;&gt;"ok","",IF(Rechner!$E$5+1312&lt;=Rechner!$B$6,Rechner!$E$5+1312,""))</f>
        <v/>
      </c>
      <c r="B1314">
        <f>IF(A1314="","",LOOKUP(A1314,Basiszins!$A$5:$A$18,Basiszins!$B$5:$B$18))</f>
        <v/>
      </c>
      <c r="C1314">
        <f>IF(A1314="","",B1314+Rechner!$E$7)</f>
        <v/>
      </c>
      <c r="D1314">
        <f>J1313</f>
        <v/>
      </c>
      <c r="E1314">
        <f>IF(A1314="",0,D1314*C1314/100/(DATE(YEAR(A1314)+1,1,1)-DATE(YEAR(A1314),1,1)))</f>
        <v/>
      </c>
      <c r="F1314">
        <f>IF(A1314="",0,SUMIF(Rechner!$A$12:$A$21,A1314,Rechner!$B$12:$B$21))</f>
        <v/>
      </c>
      <c r="G1314">
        <f>H1313+E1314</f>
        <v/>
      </c>
      <c r="H1314">
        <f>G1314-MIN(F1314,G1314)</f>
        <v/>
      </c>
      <c r="I1314">
        <f>MIN(F1314-MIN(F1314,G1314),D1314)</f>
        <v/>
      </c>
      <c r="J1314">
        <f>D1314-I1314</f>
        <v/>
      </c>
      <c r="K1314">
        <f>F1314-MIN(F1314,G1314)-I1314</f>
        <v/>
      </c>
    </row>
    <row r="1315">
      <c r="A1315" s="21">
        <f>IF(Rechner!$E$4&lt;&gt;"ok","",IF(Rechner!$E$5+1313&lt;=Rechner!$B$6,Rechner!$E$5+1313,""))</f>
        <v/>
      </c>
      <c r="B1315">
        <f>IF(A1315="","",LOOKUP(A1315,Basiszins!$A$5:$A$18,Basiszins!$B$5:$B$18))</f>
        <v/>
      </c>
      <c r="C1315">
        <f>IF(A1315="","",B1315+Rechner!$E$7)</f>
        <v/>
      </c>
      <c r="D1315">
        <f>J1314</f>
        <v/>
      </c>
      <c r="E1315">
        <f>IF(A1315="",0,D1315*C1315/100/(DATE(YEAR(A1315)+1,1,1)-DATE(YEAR(A1315),1,1)))</f>
        <v/>
      </c>
      <c r="F1315">
        <f>IF(A1315="",0,SUMIF(Rechner!$A$12:$A$21,A1315,Rechner!$B$12:$B$21))</f>
        <v/>
      </c>
      <c r="G1315">
        <f>H1314+E1315</f>
        <v/>
      </c>
      <c r="H1315">
        <f>G1315-MIN(F1315,G1315)</f>
        <v/>
      </c>
      <c r="I1315">
        <f>MIN(F1315-MIN(F1315,G1315),D1315)</f>
        <v/>
      </c>
      <c r="J1315">
        <f>D1315-I1315</f>
        <v/>
      </c>
      <c r="K1315">
        <f>F1315-MIN(F1315,G1315)-I1315</f>
        <v/>
      </c>
    </row>
    <row r="1316">
      <c r="A1316" s="21">
        <f>IF(Rechner!$E$4&lt;&gt;"ok","",IF(Rechner!$E$5+1314&lt;=Rechner!$B$6,Rechner!$E$5+1314,""))</f>
        <v/>
      </c>
      <c r="B1316">
        <f>IF(A1316="","",LOOKUP(A1316,Basiszins!$A$5:$A$18,Basiszins!$B$5:$B$18))</f>
        <v/>
      </c>
      <c r="C1316">
        <f>IF(A1316="","",B1316+Rechner!$E$7)</f>
        <v/>
      </c>
      <c r="D1316">
        <f>J1315</f>
        <v/>
      </c>
      <c r="E1316">
        <f>IF(A1316="",0,D1316*C1316/100/(DATE(YEAR(A1316)+1,1,1)-DATE(YEAR(A1316),1,1)))</f>
        <v/>
      </c>
      <c r="F1316">
        <f>IF(A1316="",0,SUMIF(Rechner!$A$12:$A$21,A1316,Rechner!$B$12:$B$21))</f>
        <v/>
      </c>
      <c r="G1316">
        <f>H1315+E1316</f>
        <v/>
      </c>
      <c r="H1316">
        <f>G1316-MIN(F1316,G1316)</f>
        <v/>
      </c>
      <c r="I1316">
        <f>MIN(F1316-MIN(F1316,G1316),D1316)</f>
        <v/>
      </c>
      <c r="J1316">
        <f>D1316-I1316</f>
        <v/>
      </c>
      <c r="K1316">
        <f>F1316-MIN(F1316,G1316)-I1316</f>
        <v/>
      </c>
    </row>
    <row r="1317">
      <c r="A1317" s="21">
        <f>IF(Rechner!$E$4&lt;&gt;"ok","",IF(Rechner!$E$5+1315&lt;=Rechner!$B$6,Rechner!$E$5+1315,""))</f>
        <v/>
      </c>
      <c r="B1317">
        <f>IF(A1317="","",LOOKUP(A1317,Basiszins!$A$5:$A$18,Basiszins!$B$5:$B$18))</f>
        <v/>
      </c>
      <c r="C1317">
        <f>IF(A1317="","",B1317+Rechner!$E$7)</f>
        <v/>
      </c>
      <c r="D1317">
        <f>J1316</f>
        <v/>
      </c>
      <c r="E1317">
        <f>IF(A1317="",0,D1317*C1317/100/(DATE(YEAR(A1317)+1,1,1)-DATE(YEAR(A1317),1,1)))</f>
        <v/>
      </c>
      <c r="F1317">
        <f>IF(A1317="",0,SUMIF(Rechner!$A$12:$A$21,A1317,Rechner!$B$12:$B$21))</f>
        <v/>
      </c>
      <c r="G1317">
        <f>H1316+E1317</f>
        <v/>
      </c>
      <c r="H1317">
        <f>G1317-MIN(F1317,G1317)</f>
        <v/>
      </c>
      <c r="I1317">
        <f>MIN(F1317-MIN(F1317,G1317),D1317)</f>
        <v/>
      </c>
      <c r="J1317">
        <f>D1317-I1317</f>
        <v/>
      </c>
      <c r="K1317">
        <f>F1317-MIN(F1317,G1317)-I1317</f>
        <v/>
      </c>
    </row>
    <row r="1318">
      <c r="A1318" s="21">
        <f>IF(Rechner!$E$4&lt;&gt;"ok","",IF(Rechner!$E$5+1316&lt;=Rechner!$B$6,Rechner!$E$5+1316,""))</f>
        <v/>
      </c>
      <c r="B1318">
        <f>IF(A1318="","",LOOKUP(A1318,Basiszins!$A$5:$A$18,Basiszins!$B$5:$B$18))</f>
        <v/>
      </c>
      <c r="C1318">
        <f>IF(A1318="","",B1318+Rechner!$E$7)</f>
        <v/>
      </c>
      <c r="D1318">
        <f>J1317</f>
        <v/>
      </c>
      <c r="E1318">
        <f>IF(A1318="",0,D1318*C1318/100/(DATE(YEAR(A1318)+1,1,1)-DATE(YEAR(A1318),1,1)))</f>
        <v/>
      </c>
      <c r="F1318">
        <f>IF(A1318="",0,SUMIF(Rechner!$A$12:$A$21,A1318,Rechner!$B$12:$B$21))</f>
        <v/>
      </c>
      <c r="G1318">
        <f>H1317+E1318</f>
        <v/>
      </c>
      <c r="H1318">
        <f>G1318-MIN(F1318,G1318)</f>
        <v/>
      </c>
      <c r="I1318">
        <f>MIN(F1318-MIN(F1318,G1318),D1318)</f>
        <v/>
      </c>
      <c r="J1318">
        <f>D1318-I1318</f>
        <v/>
      </c>
      <c r="K1318">
        <f>F1318-MIN(F1318,G1318)-I1318</f>
        <v/>
      </c>
    </row>
    <row r="1319">
      <c r="A1319" s="21">
        <f>IF(Rechner!$E$4&lt;&gt;"ok","",IF(Rechner!$E$5+1317&lt;=Rechner!$B$6,Rechner!$E$5+1317,""))</f>
        <v/>
      </c>
      <c r="B1319">
        <f>IF(A1319="","",LOOKUP(A1319,Basiszins!$A$5:$A$18,Basiszins!$B$5:$B$18))</f>
        <v/>
      </c>
      <c r="C1319">
        <f>IF(A1319="","",B1319+Rechner!$E$7)</f>
        <v/>
      </c>
      <c r="D1319">
        <f>J1318</f>
        <v/>
      </c>
      <c r="E1319">
        <f>IF(A1319="",0,D1319*C1319/100/(DATE(YEAR(A1319)+1,1,1)-DATE(YEAR(A1319),1,1)))</f>
        <v/>
      </c>
      <c r="F1319">
        <f>IF(A1319="",0,SUMIF(Rechner!$A$12:$A$21,A1319,Rechner!$B$12:$B$21))</f>
        <v/>
      </c>
      <c r="G1319">
        <f>H1318+E1319</f>
        <v/>
      </c>
      <c r="H1319">
        <f>G1319-MIN(F1319,G1319)</f>
        <v/>
      </c>
      <c r="I1319">
        <f>MIN(F1319-MIN(F1319,G1319),D1319)</f>
        <v/>
      </c>
      <c r="J1319">
        <f>D1319-I1319</f>
        <v/>
      </c>
      <c r="K1319">
        <f>F1319-MIN(F1319,G1319)-I1319</f>
        <v/>
      </c>
    </row>
    <row r="1320">
      <c r="A1320" s="21">
        <f>IF(Rechner!$E$4&lt;&gt;"ok","",IF(Rechner!$E$5+1318&lt;=Rechner!$B$6,Rechner!$E$5+1318,""))</f>
        <v/>
      </c>
      <c r="B1320">
        <f>IF(A1320="","",LOOKUP(A1320,Basiszins!$A$5:$A$18,Basiszins!$B$5:$B$18))</f>
        <v/>
      </c>
      <c r="C1320">
        <f>IF(A1320="","",B1320+Rechner!$E$7)</f>
        <v/>
      </c>
      <c r="D1320">
        <f>J1319</f>
        <v/>
      </c>
      <c r="E1320">
        <f>IF(A1320="",0,D1320*C1320/100/(DATE(YEAR(A1320)+1,1,1)-DATE(YEAR(A1320),1,1)))</f>
        <v/>
      </c>
      <c r="F1320">
        <f>IF(A1320="",0,SUMIF(Rechner!$A$12:$A$21,A1320,Rechner!$B$12:$B$21))</f>
        <v/>
      </c>
      <c r="G1320">
        <f>H1319+E1320</f>
        <v/>
      </c>
      <c r="H1320">
        <f>G1320-MIN(F1320,G1320)</f>
        <v/>
      </c>
      <c r="I1320">
        <f>MIN(F1320-MIN(F1320,G1320),D1320)</f>
        <v/>
      </c>
      <c r="J1320">
        <f>D1320-I1320</f>
        <v/>
      </c>
      <c r="K1320">
        <f>F1320-MIN(F1320,G1320)-I1320</f>
        <v/>
      </c>
    </row>
    <row r="1321">
      <c r="A1321" s="21">
        <f>IF(Rechner!$E$4&lt;&gt;"ok","",IF(Rechner!$E$5+1319&lt;=Rechner!$B$6,Rechner!$E$5+1319,""))</f>
        <v/>
      </c>
      <c r="B1321">
        <f>IF(A1321="","",LOOKUP(A1321,Basiszins!$A$5:$A$18,Basiszins!$B$5:$B$18))</f>
        <v/>
      </c>
      <c r="C1321">
        <f>IF(A1321="","",B1321+Rechner!$E$7)</f>
        <v/>
      </c>
      <c r="D1321">
        <f>J1320</f>
        <v/>
      </c>
      <c r="E1321">
        <f>IF(A1321="",0,D1321*C1321/100/(DATE(YEAR(A1321)+1,1,1)-DATE(YEAR(A1321),1,1)))</f>
        <v/>
      </c>
      <c r="F1321">
        <f>IF(A1321="",0,SUMIF(Rechner!$A$12:$A$21,A1321,Rechner!$B$12:$B$21))</f>
        <v/>
      </c>
      <c r="G1321">
        <f>H1320+E1321</f>
        <v/>
      </c>
      <c r="H1321">
        <f>G1321-MIN(F1321,G1321)</f>
        <v/>
      </c>
      <c r="I1321">
        <f>MIN(F1321-MIN(F1321,G1321),D1321)</f>
        <v/>
      </c>
      <c r="J1321">
        <f>D1321-I1321</f>
        <v/>
      </c>
      <c r="K1321">
        <f>F1321-MIN(F1321,G1321)-I1321</f>
        <v/>
      </c>
    </row>
    <row r="1322">
      <c r="A1322" s="21">
        <f>IF(Rechner!$E$4&lt;&gt;"ok","",IF(Rechner!$E$5+1320&lt;=Rechner!$B$6,Rechner!$E$5+1320,""))</f>
        <v/>
      </c>
      <c r="B1322">
        <f>IF(A1322="","",LOOKUP(A1322,Basiszins!$A$5:$A$18,Basiszins!$B$5:$B$18))</f>
        <v/>
      </c>
      <c r="C1322">
        <f>IF(A1322="","",B1322+Rechner!$E$7)</f>
        <v/>
      </c>
      <c r="D1322">
        <f>J1321</f>
        <v/>
      </c>
      <c r="E1322">
        <f>IF(A1322="",0,D1322*C1322/100/(DATE(YEAR(A1322)+1,1,1)-DATE(YEAR(A1322),1,1)))</f>
        <v/>
      </c>
      <c r="F1322">
        <f>IF(A1322="",0,SUMIF(Rechner!$A$12:$A$21,A1322,Rechner!$B$12:$B$21))</f>
        <v/>
      </c>
      <c r="G1322">
        <f>H1321+E1322</f>
        <v/>
      </c>
      <c r="H1322">
        <f>G1322-MIN(F1322,G1322)</f>
        <v/>
      </c>
      <c r="I1322">
        <f>MIN(F1322-MIN(F1322,G1322),D1322)</f>
        <v/>
      </c>
      <c r="J1322">
        <f>D1322-I1322</f>
        <v/>
      </c>
      <c r="K1322">
        <f>F1322-MIN(F1322,G1322)-I1322</f>
        <v/>
      </c>
    </row>
    <row r="1323">
      <c r="A1323" s="21">
        <f>IF(Rechner!$E$4&lt;&gt;"ok","",IF(Rechner!$E$5+1321&lt;=Rechner!$B$6,Rechner!$E$5+1321,""))</f>
        <v/>
      </c>
      <c r="B1323">
        <f>IF(A1323="","",LOOKUP(A1323,Basiszins!$A$5:$A$18,Basiszins!$B$5:$B$18))</f>
        <v/>
      </c>
      <c r="C1323">
        <f>IF(A1323="","",B1323+Rechner!$E$7)</f>
        <v/>
      </c>
      <c r="D1323">
        <f>J1322</f>
        <v/>
      </c>
      <c r="E1323">
        <f>IF(A1323="",0,D1323*C1323/100/(DATE(YEAR(A1323)+1,1,1)-DATE(YEAR(A1323),1,1)))</f>
        <v/>
      </c>
      <c r="F1323">
        <f>IF(A1323="",0,SUMIF(Rechner!$A$12:$A$21,A1323,Rechner!$B$12:$B$21))</f>
        <v/>
      </c>
      <c r="G1323">
        <f>H1322+E1323</f>
        <v/>
      </c>
      <c r="H1323">
        <f>G1323-MIN(F1323,G1323)</f>
        <v/>
      </c>
      <c r="I1323">
        <f>MIN(F1323-MIN(F1323,G1323),D1323)</f>
        <v/>
      </c>
      <c r="J1323">
        <f>D1323-I1323</f>
        <v/>
      </c>
      <c r="K1323">
        <f>F1323-MIN(F1323,G1323)-I1323</f>
        <v/>
      </c>
    </row>
    <row r="1324">
      <c r="A1324" s="21">
        <f>IF(Rechner!$E$4&lt;&gt;"ok","",IF(Rechner!$E$5+1322&lt;=Rechner!$B$6,Rechner!$E$5+1322,""))</f>
        <v/>
      </c>
      <c r="B1324">
        <f>IF(A1324="","",LOOKUP(A1324,Basiszins!$A$5:$A$18,Basiszins!$B$5:$B$18))</f>
        <v/>
      </c>
      <c r="C1324">
        <f>IF(A1324="","",B1324+Rechner!$E$7)</f>
        <v/>
      </c>
      <c r="D1324">
        <f>J1323</f>
        <v/>
      </c>
      <c r="E1324">
        <f>IF(A1324="",0,D1324*C1324/100/(DATE(YEAR(A1324)+1,1,1)-DATE(YEAR(A1324),1,1)))</f>
        <v/>
      </c>
      <c r="F1324">
        <f>IF(A1324="",0,SUMIF(Rechner!$A$12:$A$21,A1324,Rechner!$B$12:$B$21))</f>
        <v/>
      </c>
      <c r="G1324">
        <f>H1323+E1324</f>
        <v/>
      </c>
      <c r="H1324">
        <f>G1324-MIN(F1324,G1324)</f>
        <v/>
      </c>
      <c r="I1324">
        <f>MIN(F1324-MIN(F1324,G1324),D1324)</f>
        <v/>
      </c>
      <c r="J1324">
        <f>D1324-I1324</f>
        <v/>
      </c>
      <c r="K1324">
        <f>F1324-MIN(F1324,G1324)-I1324</f>
        <v/>
      </c>
    </row>
    <row r="1325">
      <c r="A1325" s="21">
        <f>IF(Rechner!$E$4&lt;&gt;"ok","",IF(Rechner!$E$5+1323&lt;=Rechner!$B$6,Rechner!$E$5+1323,""))</f>
        <v/>
      </c>
      <c r="B1325">
        <f>IF(A1325="","",LOOKUP(A1325,Basiszins!$A$5:$A$18,Basiszins!$B$5:$B$18))</f>
        <v/>
      </c>
      <c r="C1325">
        <f>IF(A1325="","",B1325+Rechner!$E$7)</f>
        <v/>
      </c>
      <c r="D1325">
        <f>J1324</f>
        <v/>
      </c>
      <c r="E1325">
        <f>IF(A1325="",0,D1325*C1325/100/(DATE(YEAR(A1325)+1,1,1)-DATE(YEAR(A1325),1,1)))</f>
        <v/>
      </c>
      <c r="F1325">
        <f>IF(A1325="",0,SUMIF(Rechner!$A$12:$A$21,A1325,Rechner!$B$12:$B$21))</f>
        <v/>
      </c>
      <c r="G1325">
        <f>H1324+E1325</f>
        <v/>
      </c>
      <c r="H1325">
        <f>G1325-MIN(F1325,G1325)</f>
        <v/>
      </c>
      <c r="I1325">
        <f>MIN(F1325-MIN(F1325,G1325),D1325)</f>
        <v/>
      </c>
      <c r="J1325">
        <f>D1325-I1325</f>
        <v/>
      </c>
      <c r="K1325">
        <f>F1325-MIN(F1325,G1325)-I1325</f>
        <v/>
      </c>
    </row>
    <row r="1326">
      <c r="A1326" s="21">
        <f>IF(Rechner!$E$4&lt;&gt;"ok","",IF(Rechner!$E$5+1324&lt;=Rechner!$B$6,Rechner!$E$5+1324,""))</f>
        <v/>
      </c>
      <c r="B1326">
        <f>IF(A1326="","",LOOKUP(A1326,Basiszins!$A$5:$A$18,Basiszins!$B$5:$B$18))</f>
        <v/>
      </c>
      <c r="C1326">
        <f>IF(A1326="","",B1326+Rechner!$E$7)</f>
        <v/>
      </c>
      <c r="D1326">
        <f>J1325</f>
        <v/>
      </c>
      <c r="E1326">
        <f>IF(A1326="",0,D1326*C1326/100/(DATE(YEAR(A1326)+1,1,1)-DATE(YEAR(A1326),1,1)))</f>
        <v/>
      </c>
      <c r="F1326">
        <f>IF(A1326="",0,SUMIF(Rechner!$A$12:$A$21,A1326,Rechner!$B$12:$B$21))</f>
        <v/>
      </c>
      <c r="G1326">
        <f>H1325+E1326</f>
        <v/>
      </c>
      <c r="H1326">
        <f>G1326-MIN(F1326,G1326)</f>
        <v/>
      </c>
      <c r="I1326">
        <f>MIN(F1326-MIN(F1326,G1326),D1326)</f>
        <v/>
      </c>
      <c r="J1326">
        <f>D1326-I1326</f>
        <v/>
      </c>
      <c r="K1326">
        <f>F1326-MIN(F1326,G1326)-I1326</f>
        <v/>
      </c>
    </row>
    <row r="1327">
      <c r="A1327" s="21">
        <f>IF(Rechner!$E$4&lt;&gt;"ok","",IF(Rechner!$E$5+1325&lt;=Rechner!$B$6,Rechner!$E$5+1325,""))</f>
        <v/>
      </c>
      <c r="B1327">
        <f>IF(A1327="","",LOOKUP(A1327,Basiszins!$A$5:$A$18,Basiszins!$B$5:$B$18))</f>
        <v/>
      </c>
      <c r="C1327">
        <f>IF(A1327="","",B1327+Rechner!$E$7)</f>
        <v/>
      </c>
      <c r="D1327">
        <f>J1326</f>
        <v/>
      </c>
      <c r="E1327">
        <f>IF(A1327="",0,D1327*C1327/100/(DATE(YEAR(A1327)+1,1,1)-DATE(YEAR(A1327),1,1)))</f>
        <v/>
      </c>
      <c r="F1327">
        <f>IF(A1327="",0,SUMIF(Rechner!$A$12:$A$21,A1327,Rechner!$B$12:$B$21))</f>
        <v/>
      </c>
      <c r="G1327">
        <f>H1326+E1327</f>
        <v/>
      </c>
      <c r="H1327">
        <f>G1327-MIN(F1327,G1327)</f>
        <v/>
      </c>
      <c r="I1327">
        <f>MIN(F1327-MIN(F1327,G1327),D1327)</f>
        <v/>
      </c>
      <c r="J1327">
        <f>D1327-I1327</f>
        <v/>
      </c>
      <c r="K1327">
        <f>F1327-MIN(F1327,G1327)-I1327</f>
        <v/>
      </c>
    </row>
    <row r="1328">
      <c r="A1328" s="21">
        <f>IF(Rechner!$E$4&lt;&gt;"ok","",IF(Rechner!$E$5+1326&lt;=Rechner!$B$6,Rechner!$E$5+1326,""))</f>
        <v/>
      </c>
      <c r="B1328">
        <f>IF(A1328="","",LOOKUP(A1328,Basiszins!$A$5:$A$18,Basiszins!$B$5:$B$18))</f>
        <v/>
      </c>
      <c r="C1328">
        <f>IF(A1328="","",B1328+Rechner!$E$7)</f>
        <v/>
      </c>
      <c r="D1328">
        <f>J1327</f>
        <v/>
      </c>
      <c r="E1328">
        <f>IF(A1328="",0,D1328*C1328/100/(DATE(YEAR(A1328)+1,1,1)-DATE(YEAR(A1328),1,1)))</f>
        <v/>
      </c>
      <c r="F1328">
        <f>IF(A1328="",0,SUMIF(Rechner!$A$12:$A$21,A1328,Rechner!$B$12:$B$21))</f>
        <v/>
      </c>
      <c r="G1328">
        <f>H1327+E1328</f>
        <v/>
      </c>
      <c r="H1328">
        <f>G1328-MIN(F1328,G1328)</f>
        <v/>
      </c>
      <c r="I1328">
        <f>MIN(F1328-MIN(F1328,G1328),D1328)</f>
        <v/>
      </c>
      <c r="J1328">
        <f>D1328-I1328</f>
        <v/>
      </c>
      <c r="K1328">
        <f>F1328-MIN(F1328,G1328)-I1328</f>
        <v/>
      </c>
    </row>
    <row r="1329">
      <c r="A1329" s="21">
        <f>IF(Rechner!$E$4&lt;&gt;"ok","",IF(Rechner!$E$5+1327&lt;=Rechner!$B$6,Rechner!$E$5+1327,""))</f>
        <v/>
      </c>
      <c r="B1329">
        <f>IF(A1329="","",LOOKUP(A1329,Basiszins!$A$5:$A$18,Basiszins!$B$5:$B$18))</f>
        <v/>
      </c>
      <c r="C1329">
        <f>IF(A1329="","",B1329+Rechner!$E$7)</f>
        <v/>
      </c>
      <c r="D1329">
        <f>J1328</f>
        <v/>
      </c>
      <c r="E1329">
        <f>IF(A1329="",0,D1329*C1329/100/(DATE(YEAR(A1329)+1,1,1)-DATE(YEAR(A1329),1,1)))</f>
        <v/>
      </c>
      <c r="F1329">
        <f>IF(A1329="",0,SUMIF(Rechner!$A$12:$A$21,A1329,Rechner!$B$12:$B$21))</f>
        <v/>
      </c>
      <c r="G1329">
        <f>H1328+E1329</f>
        <v/>
      </c>
      <c r="H1329">
        <f>G1329-MIN(F1329,G1329)</f>
        <v/>
      </c>
      <c r="I1329">
        <f>MIN(F1329-MIN(F1329,G1329),D1329)</f>
        <v/>
      </c>
      <c r="J1329">
        <f>D1329-I1329</f>
        <v/>
      </c>
      <c r="K1329">
        <f>F1329-MIN(F1329,G1329)-I1329</f>
        <v/>
      </c>
    </row>
    <row r="1330">
      <c r="A1330" s="21">
        <f>IF(Rechner!$E$4&lt;&gt;"ok","",IF(Rechner!$E$5+1328&lt;=Rechner!$B$6,Rechner!$E$5+1328,""))</f>
        <v/>
      </c>
      <c r="B1330">
        <f>IF(A1330="","",LOOKUP(A1330,Basiszins!$A$5:$A$18,Basiszins!$B$5:$B$18))</f>
        <v/>
      </c>
      <c r="C1330">
        <f>IF(A1330="","",B1330+Rechner!$E$7)</f>
        <v/>
      </c>
      <c r="D1330">
        <f>J1329</f>
        <v/>
      </c>
      <c r="E1330">
        <f>IF(A1330="",0,D1330*C1330/100/(DATE(YEAR(A1330)+1,1,1)-DATE(YEAR(A1330),1,1)))</f>
        <v/>
      </c>
      <c r="F1330">
        <f>IF(A1330="",0,SUMIF(Rechner!$A$12:$A$21,A1330,Rechner!$B$12:$B$21))</f>
        <v/>
      </c>
      <c r="G1330">
        <f>H1329+E1330</f>
        <v/>
      </c>
      <c r="H1330">
        <f>G1330-MIN(F1330,G1330)</f>
        <v/>
      </c>
      <c r="I1330">
        <f>MIN(F1330-MIN(F1330,G1330),D1330)</f>
        <v/>
      </c>
      <c r="J1330">
        <f>D1330-I1330</f>
        <v/>
      </c>
      <c r="K1330">
        <f>F1330-MIN(F1330,G1330)-I1330</f>
        <v/>
      </c>
    </row>
    <row r="1331">
      <c r="A1331" s="21">
        <f>IF(Rechner!$E$4&lt;&gt;"ok","",IF(Rechner!$E$5+1329&lt;=Rechner!$B$6,Rechner!$E$5+1329,""))</f>
        <v/>
      </c>
      <c r="B1331">
        <f>IF(A1331="","",LOOKUP(A1331,Basiszins!$A$5:$A$18,Basiszins!$B$5:$B$18))</f>
        <v/>
      </c>
      <c r="C1331">
        <f>IF(A1331="","",B1331+Rechner!$E$7)</f>
        <v/>
      </c>
      <c r="D1331">
        <f>J1330</f>
        <v/>
      </c>
      <c r="E1331">
        <f>IF(A1331="",0,D1331*C1331/100/(DATE(YEAR(A1331)+1,1,1)-DATE(YEAR(A1331),1,1)))</f>
        <v/>
      </c>
      <c r="F1331">
        <f>IF(A1331="",0,SUMIF(Rechner!$A$12:$A$21,A1331,Rechner!$B$12:$B$21))</f>
        <v/>
      </c>
      <c r="G1331">
        <f>H1330+E1331</f>
        <v/>
      </c>
      <c r="H1331">
        <f>G1331-MIN(F1331,G1331)</f>
        <v/>
      </c>
      <c r="I1331">
        <f>MIN(F1331-MIN(F1331,G1331),D1331)</f>
        <v/>
      </c>
      <c r="J1331">
        <f>D1331-I1331</f>
        <v/>
      </c>
      <c r="K1331">
        <f>F1331-MIN(F1331,G1331)-I1331</f>
        <v/>
      </c>
    </row>
    <row r="1332">
      <c r="A1332" s="21">
        <f>IF(Rechner!$E$4&lt;&gt;"ok","",IF(Rechner!$E$5+1330&lt;=Rechner!$B$6,Rechner!$E$5+1330,""))</f>
        <v/>
      </c>
      <c r="B1332">
        <f>IF(A1332="","",LOOKUP(A1332,Basiszins!$A$5:$A$18,Basiszins!$B$5:$B$18))</f>
        <v/>
      </c>
      <c r="C1332">
        <f>IF(A1332="","",B1332+Rechner!$E$7)</f>
        <v/>
      </c>
      <c r="D1332">
        <f>J1331</f>
        <v/>
      </c>
      <c r="E1332">
        <f>IF(A1332="",0,D1332*C1332/100/(DATE(YEAR(A1332)+1,1,1)-DATE(YEAR(A1332),1,1)))</f>
        <v/>
      </c>
      <c r="F1332">
        <f>IF(A1332="",0,SUMIF(Rechner!$A$12:$A$21,A1332,Rechner!$B$12:$B$21))</f>
        <v/>
      </c>
      <c r="G1332">
        <f>H1331+E1332</f>
        <v/>
      </c>
      <c r="H1332">
        <f>G1332-MIN(F1332,G1332)</f>
        <v/>
      </c>
      <c r="I1332">
        <f>MIN(F1332-MIN(F1332,G1332),D1332)</f>
        <v/>
      </c>
      <c r="J1332">
        <f>D1332-I1332</f>
        <v/>
      </c>
      <c r="K1332">
        <f>F1332-MIN(F1332,G1332)-I1332</f>
        <v/>
      </c>
    </row>
    <row r="1333">
      <c r="A1333" s="21">
        <f>IF(Rechner!$E$4&lt;&gt;"ok","",IF(Rechner!$E$5+1331&lt;=Rechner!$B$6,Rechner!$E$5+1331,""))</f>
        <v/>
      </c>
      <c r="B1333">
        <f>IF(A1333="","",LOOKUP(A1333,Basiszins!$A$5:$A$18,Basiszins!$B$5:$B$18))</f>
        <v/>
      </c>
      <c r="C1333">
        <f>IF(A1333="","",B1333+Rechner!$E$7)</f>
        <v/>
      </c>
      <c r="D1333">
        <f>J1332</f>
        <v/>
      </c>
      <c r="E1333">
        <f>IF(A1333="",0,D1333*C1333/100/(DATE(YEAR(A1333)+1,1,1)-DATE(YEAR(A1333),1,1)))</f>
        <v/>
      </c>
      <c r="F1333">
        <f>IF(A1333="",0,SUMIF(Rechner!$A$12:$A$21,A1333,Rechner!$B$12:$B$21))</f>
        <v/>
      </c>
      <c r="G1333">
        <f>H1332+E1333</f>
        <v/>
      </c>
      <c r="H1333">
        <f>G1333-MIN(F1333,G1333)</f>
        <v/>
      </c>
      <c r="I1333">
        <f>MIN(F1333-MIN(F1333,G1333),D1333)</f>
        <v/>
      </c>
      <c r="J1333">
        <f>D1333-I1333</f>
        <v/>
      </c>
      <c r="K1333">
        <f>F1333-MIN(F1333,G1333)-I1333</f>
        <v/>
      </c>
    </row>
    <row r="1334">
      <c r="A1334" s="21">
        <f>IF(Rechner!$E$4&lt;&gt;"ok","",IF(Rechner!$E$5+1332&lt;=Rechner!$B$6,Rechner!$E$5+1332,""))</f>
        <v/>
      </c>
      <c r="B1334">
        <f>IF(A1334="","",LOOKUP(A1334,Basiszins!$A$5:$A$18,Basiszins!$B$5:$B$18))</f>
        <v/>
      </c>
      <c r="C1334">
        <f>IF(A1334="","",B1334+Rechner!$E$7)</f>
        <v/>
      </c>
      <c r="D1334">
        <f>J1333</f>
        <v/>
      </c>
      <c r="E1334">
        <f>IF(A1334="",0,D1334*C1334/100/(DATE(YEAR(A1334)+1,1,1)-DATE(YEAR(A1334),1,1)))</f>
        <v/>
      </c>
      <c r="F1334">
        <f>IF(A1334="",0,SUMIF(Rechner!$A$12:$A$21,A1334,Rechner!$B$12:$B$21))</f>
        <v/>
      </c>
      <c r="G1334">
        <f>H1333+E1334</f>
        <v/>
      </c>
      <c r="H1334">
        <f>G1334-MIN(F1334,G1334)</f>
        <v/>
      </c>
      <c r="I1334">
        <f>MIN(F1334-MIN(F1334,G1334),D1334)</f>
        <v/>
      </c>
      <c r="J1334">
        <f>D1334-I1334</f>
        <v/>
      </c>
      <c r="K1334">
        <f>F1334-MIN(F1334,G1334)-I1334</f>
        <v/>
      </c>
    </row>
    <row r="1335">
      <c r="A1335" s="21">
        <f>IF(Rechner!$E$4&lt;&gt;"ok","",IF(Rechner!$E$5+1333&lt;=Rechner!$B$6,Rechner!$E$5+1333,""))</f>
        <v/>
      </c>
      <c r="B1335">
        <f>IF(A1335="","",LOOKUP(A1335,Basiszins!$A$5:$A$18,Basiszins!$B$5:$B$18))</f>
        <v/>
      </c>
      <c r="C1335">
        <f>IF(A1335="","",B1335+Rechner!$E$7)</f>
        <v/>
      </c>
      <c r="D1335">
        <f>J1334</f>
        <v/>
      </c>
      <c r="E1335">
        <f>IF(A1335="",0,D1335*C1335/100/(DATE(YEAR(A1335)+1,1,1)-DATE(YEAR(A1335),1,1)))</f>
        <v/>
      </c>
      <c r="F1335">
        <f>IF(A1335="",0,SUMIF(Rechner!$A$12:$A$21,A1335,Rechner!$B$12:$B$21))</f>
        <v/>
      </c>
      <c r="G1335">
        <f>H1334+E1335</f>
        <v/>
      </c>
      <c r="H1335">
        <f>G1335-MIN(F1335,G1335)</f>
        <v/>
      </c>
      <c r="I1335">
        <f>MIN(F1335-MIN(F1335,G1335),D1335)</f>
        <v/>
      </c>
      <c r="J1335">
        <f>D1335-I1335</f>
        <v/>
      </c>
      <c r="K1335">
        <f>F1335-MIN(F1335,G1335)-I1335</f>
        <v/>
      </c>
    </row>
    <row r="1336">
      <c r="A1336" s="21">
        <f>IF(Rechner!$E$4&lt;&gt;"ok","",IF(Rechner!$E$5+1334&lt;=Rechner!$B$6,Rechner!$E$5+1334,""))</f>
        <v/>
      </c>
      <c r="B1336">
        <f>IF(A1336="","",LOOKUP(A1336,Basiszins!$A$5:$A$18,Basiszins!$B$5:$B$18))</f>
        <v/>
      </c>
      <c r="C1336">
        <f>IF(A1336="","",B1336+Rechner!$E$7)</f>
        <v/>
      </c>
      <c r="D1336">
        <f>J1335</f>
        <v/>
      </c>
      <c r="E1336">
        <f>IF(A1336="",0,D1336*C1336/100/(DATE(YEAR(A1336)+1,1,1)-DATE(YEAR(A1336),1,1)))</f>
        <v/>
      </c>
      <c r="F1336">
        <f>IF(A1336="",0,SUMIF(Rechner!$A$12:$A$21,A1336,Rechner!$B$12:$B$21))</f>
        <v/>
      </c>
      <c r="G1336">
        <f>H1335+E1336</f>
        <v/>
      </c>
      <c r="H1336">
        <f>G1336-MIN(F1336,G1336)</f>
        <v/>
      </c>
      <c r="I1336">
        <f>MIN(F1336-MIN(F1336,G1336),D1336)</f>
        <v/>
      </c>
      <c r="J1336">
        <f>D1336-I1336</f>
        <v/>
      </c>
      <c r="K1336">
        <f>F1336-MIN(F1336,G1336)-I1336</f>
        <v/>
      </c>
    </row>
    <row r="1337">
      <c r="A1337" s="21">
        <f>IF(Rechner!$E$4&lt;&gt;"ok","",IF(Rechner!$E$5+1335&lt;=Rechner!$B$6,Rechner!$E$5+1335,""))</f>
        <v/>
      </c>
      <c r="B1337">
        <f>IF(A1337="","",LOOKUP(A1337,Basiszins!$A$5:$A$18,Basiszins!$B$5:$B$18))</f>
        <v/>
      </c>
      <c r="C1337">
        <f>IF(A1337="","",B1337+Rechner!$E$7)</f>
        <v/>
      </c>
      <c r="D1337">
        <f>J1336</f>
        <v/>
      </c>
      <c r="E1337">
        <f>IF(A1337="",0,D1337*C1337/100/(DATE(YEAR(A1337)+1,1,1)-DATE(YEAR(A1337),1,1)))</f>
        <v/>
      </c>
      <c r="F1337">
        <f>IF(A1337="",0,SUMIF(Rechner!$A$12:$A$21,A1337,Rechner!$B$12:$B$21))</f>
        <v/>
      </c>
      <c r="G1337">
        <f>H1336+E1337</f>
        <v/>
      </c>
      <c r="H1337">
        <f>G1337-MIN(F1337,G1337)</f>
        <v/>
      </c>
      <c r="I1337">
        <f>MIN(F1337-MIN(F1337,G1337),D1337)</f>
        <v/>
      </c>
      <c r="J1337">
        <f>D1337-I1337</f>
        <v/>
      </c>
      <c r="K1337">
        <f>F1337-MIN(F1337,G1337)-I1337</f>
        <v/>
      </c>
    </row>
    <row r="1338">
      <c r="A1338" s="21">
        <f>IF(Rechner!$E$4&lt;&gt;"ok","",IF(Rechner!$E$5+1336&lt;=Rechner!$B$6,Rechner!$E$5+1336,""))</f>
        <v/>
      </c>
      <c r="B1338">
        <f>IF(A1338="","",LOOKUP(A1338,Basiszins!$A$5:$A$18,Basiszins!$B$5:$B$18))</f>
        <v/>
      </c>
      <c r="C1338">
        <f>IF(A1338="","",B1338+Rechner!$E$7)</f>
        <v/>
      </c>
      <c r="D1338">
        <f>J1337</f>
        <v/>
      </c>
      <c r="E1338">
        <f>IF(A1338="",0,D1338*C1338/100/(DATE(YEAR(A1338)+1,1,1)-DATE(YEAR(A1338),1,1)))</f>
        <v/>
      </c>
      <c r="F1338">
        <f>IF(A1338="",0,SUMIF(Rechner!$A$12:$A$21,A1338,Rechner!$B$12:$B$21))</f>
        <v/>
      </c>
      <c r="G1338">
        <f>H1337+E1338</f>
        <v/>
      </c>
      <c r="H1338">
        <f>G1338-MIN(F1338,G1338)</f>
        <v/>
      </c>
      <c r="I1338">
        <f>MIN(F1338-MIN(F1338,G1338),D1338)</f>
        <v/>
      </c>
      <c r="J1338">
        <f>D1338-I1338</f>
        <v/>
      </c>
      <c r="K1338">
        <f>F1338-MIN(F1338,G1338)-I1338</f>
        <v/>
      </c>
    </row>
    <row r="1339">
      <c r="A1339" s="21">
        <f>IF(Rechner!$E$4&lt;&gt;"ok","",IF(Rechner!$E$5+1337&lt;=Rechner!$B$6,Rechner!$E$5+1337,""))</f>
        <v/>
      </c>
      <c r="B1339">
        <f>IF(A1339="","",LOOKUP(A1339,Basiszins!$A$5:$A$18,Basiszins!$B$5:$B$18))</f>
        <v/>
      </c>
      <c r="C1339">
        <f>IF(A1339="","",B1339+Rechner!$E$7)</f>
        <v/>
      </c>
      <c r="D1339">
        <f>J1338</f>
        <v/>
      </c>
      <c r="E1339">
        <f>IF(A1339="",0,D1339*C1339/100/(DATE(YEAR(A1339)+1,1,1)-DATE(YEAR(A1339),1,1)))</f>
        <v/>
      </c>
      <c r="F1339">
        <f>IF(A1339="",0,SUMIF(Rechner!$A$12:$A$21,A1339,Rechner!$B$12:$B$21))</f>
        <v/>
      </c>
      <c r="G1339">
        <f>H1338+E1339</f>
        <v/>
      </c>
      <c r="H1339">
        <f>G1339-MIN(F1339,G1339)</f>
        <v/>
      </c>
      <c r="I1339">
        <f>MIN(F1339-MIN(F1339,G1339),D1339)</f>
        <v/>
      </c>
      <c r="J1339">
        <f>D1339-I1339</f>
        <v/>
      </c>
      <c r="K1339">
        <f>F1339-MIN(F1339,G1339)-I1339</f>
        <v/>
      </c>
    </row>
    <row r="1340">
      <c r="A1340" s="21">
        <f>IF(Rechner!$E$4&lt;&gt;"ok","",IF(Rechner!$E$5+1338&lt;=Rechner!$B$6,Rechner!$E$5+1338,""))</f>
        <v/>
      </c>
      <c r="B1340">
        <f>IF(A1340="","",LOOKUP(A1340,Basiszins!$A$5:$A$18,Basiszins!$B$5:$B$18))</f>
        <v/>
      </c>
      <c r="C1340">
        <f>IF(A1340="","",B1340+Rechner!$E$7)</f>
        <v/>
      </c>
      <c r="D1340">
        <f>J1339</f>
        <v/>
      </c>
      <c r="E1340">
        <f>IF(A1340="",0,D1340*C1340/100/(DATE(YEAR(A1340)+1,1,1)-DATE(YEAR(A1340),1,1)))</f>
        <v/>
      </c>
      <c r="F1340">
        <f>IF(A1340="",0,SUMIF(Rechner!$A$12:$A$21,A1340,Rechner!$B$12:$B$21))</f>
        <v/>
      </c>
      <c r="G1340">
        <f>H1339+E1340</f>
        <v/>
      </c>
      <c r="H1340">
        <f>G1340-MIN(F1340,G1340)</f>
        <v/>
      </c>
      <c r="I1340">
        <f>MIN(F1340-MIN(F1340,G1340),D1340)</f>
        <v/>
      </c>
      <c r="J1340">
        <f>D1340-I1340</f>
        <v/>
      </c>
      <c r="K1340">
        <f>F1340-MIN(F1340,G1340)-I1340</f>
        <v/>
      </c>
    </row>
    <row r="1341">
      <c r="A1341" s="21">
        <f>IF(Rechner!$E$4&lt;&gt;"ok","",IF(Rechner!$E$5+1339&lt;=Rechner!$B$6,Rechner!$E$5+1339,""))</f>
        <v/>
      </c>
      <c r="B1341">
        <f>IF(A1341="","",LOOKUP(A1341,Basiszins!$A$5:$A$18,Basiszins!$B$5:$B$18))</f>
        <v/>
      </c>
      <c r="C1341">
        <f>IF(A1341="","",B1341+Rechner!$E$7)</f>
        <v/>
      </c>
      <c r="D1341">
        <f>J1340</f>
        <v/>
      </c>
      <c r="E1341">
        <f>IF(A1341="",0,D1341*C1341/100/(DATE(YEAR(A1341)+1,1,1)-DATE(YEAR(A1341),1,1)))</f>
        <v/>
      </c>
      <c r="F1341">
        <f>IF(A1341="",0,SUMIF(Rechner!$A$12:$A$21,A1341,Rechner!$B$12:$B$21))</f>
        <v/>
      </c>
      <c r="G1341">
        <f>H1340+E1341</f>
        <v/>
      </c>
      <c r="H1341">
        <f>G1341-MIN(F1341,G1341)</f>
        <v/>
      </c>
      <c r="I1341">
        <f>MIN(F1341-MIN(F1341,G1341),D1341)</f>
        <v/>
      </c>
      <c r="J1341">
        <f>D1341-I1341</f>
        <v/>
      </c>
      <c r="K1341">
        <f>F1341-MIN(F1341,G1341)-I1341</f>
        <v/>
      </c>
    </row>
    <row r="1342">
      <c r="A1342" s="21">
        <f>IF(Rechner!$E$4&lt;&gt;"ok","",IF(Rechner!$E$5+1340&lt;=Rechner!$B$6,Rechner!$E$5+1340,""))</f>
        <v/>
      </c>
      <c r="B1342">
        <f>IF(A1342="","",LOOKUP(A1342,Basiszins!$A$5:$A$18,Basiszins!$B$5:$B$18))</f>
        <v/>
      </c>
      <c r="C1342">
        <f>IF(A1342="","",B1342+Rechner!$E$7)</f>
        <v/>
      </c>
      <c r="D1342">
        <f>J1341</f>
        <v/>
      </c>
      <c r="E1342">
        <f>IF(A1342="",0,D1342*C1342/100/(DATE(YEAR(A1342)+1,1,1)-DATE(YEAR(A1342),1,1)))</f>
        <v/>
      </c>
      <c r="F1342">
        <f>IF(A1342="",0,SUMIF(Rechner!$A$12:$A$21,A1342,Rechner!$B$12:$B$21))</f>
        <v/>
      </c>
      <c r="G1342">
        <f>H1341+E1342</f>
        <v/>
      </c>
      <c r="H1342">
        <f>G1342-MIN(F1342,G1342)</f>
        <v/>
      </c>
      <c r="I1342">
        <f>MIN(F1342-MIN(F1342,G1342),D1342)</f>
        <v/>
      </c>
      <c r="J1342">
        <f>D1342-I1342</f>
        <v/>
      </c>
      <c r="K1342">
        <f>F1342-MIN(F1342,G1342)-I1342</f>
        <v/>
      </c>
    </row>
    <row r="1343">
      <c r="A1343" s="21">
        <f>IF(Rechner!$E$4&lt;&gt;"ok","",IF(Rechner!$E$5+1341&lt;=Rechner!$B$6,Rechner!$E$5+1341,""))</f>
        <v/>
      </c>
      <c r="B1343">
        <f>IF(A1343="","",LOOKUP(A1343,Basiszins!$A$5:$A$18,Basiszins!$B$5:$B$18))</f>
        <v/>
      </c>
      <c r="C1343">
        <f>IF(A1343="","",B1343+Rechner!$E$7)</f>
        <v/>
      </c>
      <c r="D1343">
        <f>J1342</f>
        <v/>
      </c>
      <c r="E1343">
        <f>IF(A1343="",0,D1343*C1343/100/(DATE(YEAR(A1343)+1,1,1)-DATE(YEAR(A1343),1,1)))</f>
        <v/>
      </c>
      <c r="F1343">
        <f>IF(A1343="",0,SUMIF(Rechner!$A$12:$A$21,A1343,Rechner!$B$12:$B$21))</f>
        <v/>
      </c>
      <c r="G1343">
        <f>H1342+E1343</f>
        <v/>
      </c>
      <c r="H1343">
        <f>G1343-MIN(F1343,G1343)</f>
        <v/>
      </c>
      <c r="I1343">
        <f>MIN(F1343-MIN(F1343,G1343),D1343)</f>
        <v/>
      </c>
      <c r="J1343">
        <f>D1343-I1343</f>
        <v/>
      </c>
      <c r="K1343">
        <f>F1343-MIN(F1343,G1343)-I1343</f>
        <v/>
      </c>
    </row>
    <row r="1344">
      <c r="A1344" s="21">
        <f>IF(Rechner!$E$4&lt;&gt;"ok","",IF(Rechner!$E$5+1342&lt;=Rechner!$B$6,Rechner!$E$5+1342,""))</f>
        <v/>
      </c>
      <c r="B1344">
        <f>IF(A1344="","",LOOKUP(A1344,Basiszins!$A$5:$A$18,Basiszins!$B$5:$B$18))</f>
        <v/>
      </c>
      <c r="C1344">
        <f>IF(A1344="","",B1344+Rechner!$E$7)</f>
        <v/>
      </c>
      <c r="D1344">
        <f>J1343</f>
        <v/>
      </c>
      <c r="E1344">
        <f>IF(A1344="",0,D1344*C1344/100/(DATE(YEAR(A1344)+1,1,1)-DATE(YEAR(A1344),1,1)))</f>
        <v/>
      </c>
      <c r="F1344">
        <f>IF(A1344="",0,SUMIF(Rechner!$A$12:$A$21,A1344,Rechner!$B$12:$B$21))</f>
        <v/>
      </c>
      <c r="G1344">
        <f>H1343+E1344</f>
        <v/>
      </c>
      <c r="H1344">
        <f>G1344-MIN(F1344,G1344)</f>
        <v/>
      </c>
      <c r="I1344">
        <f>MIN(F1344-MIN(F1344,G1344),D1344)</f>
        <v/>
      </c>
      <c r="J1344">
        <f>D1344-I1344</f>
        <v/>
      </c>
      <c r="K1344">
        <f>F1344-MIN(F1344,G1344)-I1344</f>
        <v/>
      </c>
    </row>
    <row r="1345">
      <c r="A1345" s="21">
        <f>IF(Rechner!$E$4&lt;&gt;"ok","",IF(Rechner!$E$5+1343&lt;=Rechner!$B$6,Rechner!$E$5+1343,""))</f>
        <v/>
      </c>
      <c r="B1345">
        <f>IF(A1345="","",LOOKUP(A1345,Basiszins!$A$5:$A$18,Basiszins!$B$5:$B$18))</f>
        <v/>
      </c>
      <c r="C1345">
        <f>IF(A1345="","",B1345+Rechner!$E$7)</f>
        <v/>
      </c>
      <c r="D1345">
        <f>J1344</f>
        <v/>
      </c>
      <c r="E1345">
        <f>IF(A1345="",0,D1345*C1345/100/(DATE(YEAR(A1345)+1,1,1)-DATE(YEAR(A1345),1,1)))</f>
        <v/>
      </c>
      <c r="F1345">
        <f>IF(A1345="",0,SUMIF(Rechner!$A$12:$A$21,A1345,Rechner!$B$12:$B$21))</f>
        <v/>
      </c>
      <c r="G1345">
        <f>H1344+E1345</f>
        <v/>
      </c>
      <c r="H1345">
        <f>G1345-MIN(F1345,G1345)</f>
        <v/>
      </c>
      <c r="I1345">
        <f>MIN(F1345-MIN(F1345,G1345),D1345)</f>
        <v/>
      </c>
      <c r="J1345">
        <f>D1345-I1345</f>
        <v/>
      </c>
      <c r="K1345">
        <f>F1345-MIN(F1345,G1345)-I1345</f>
        <v/>
      </c>
    </row>
    <row r="1346">
      <c r="A1346" s="21">
        <f>IF(Rechner!$E$4&lt;&gt;"ok","",IF(Rechner!$E$5+1344&lt;=Rechner!$B$6,Rechner!$E$5+1344,""))</f>
        <v/>
      </c>
      <c r="B1346">
        <f>IF(A1346="","",LOOKUP(A1346,Basiszins!$A$5:$A$18,Basiszins!$B$5:$B$18))</f>
        <v/>
      </c>
      <c r="C1346">
        <f>IF(A1346="","",B1346+Rechner!$E$7)</f>
        <v/>
      </c>
      <c r="D1346">
        <f>J1345</f>
        <v/>
      </c>
      <c r="E1346">
        <f>IF(A1346="",0,D1346*C1346/100/(DATE(YEAR(A1346)+1,1,1)-DATE(YEAR(A1346),1,1)))</f>
        <v/>
      </c>
      <c r="F1346">
        <f>IF(A1346="",0,SUMIF(Rechner!$A$12:$A$21,A1346,Rechner!$B$12:$B$21))</f>
        <v/>
      </c>
      <c r="G1346">
        <f>H1345+E1346</f>
        <v/>
      </c>
      <c r="H1346">
        <f>G1346-MIN(F1346,G1346)</f>
        <v/>
      </c>
      <c r="I1346">
        <f>MIN(F1346-MIN(F1346,G1346),D1346)</f>
        <v/>
      </c>
      <c r="J1346">
        <f>D1346-I1346</f>
        <v/>
      </c>
      <c r="K1346">
        <f>F1346-MIN(F1346,G1346)-I1346</f>
        <v/>
      </c>
    </row>
    <row r="1347">
      <c r="A1347" s="21">
        <f>IF(Rechner!$E$4&lt;&gt;"ok","",IF(Rechner!$E$5+1345&lt;=Rechner!$B$6,Rechner!$E$5+1345,""))</f>
        <v/>
      </c>
      <c r="B1347">
        <f>IF(A1347="","",LOOKUP(A1347,Basiszins!$A$5:$A$18,Basiszins!$B$5:$B$18))</f>
        <v/>
      </c>
      <c r="C1347">
        <f>IF(A1347="","",B1347+Rechner!$E$7)</f>
        <v/>
      </c>
      <c r="D1347">
        <f>J1346</f>
        <v/>
      </c>
      <c r="E1347">
        <f>IF(A1347="",0,D1347*C1347/100/(DATE(YEAR(A1347)+1,1,1)-DATE(YEAR(A1347),1,1)))</f>
        <v/>
      </c>
      <c r="F1347">
        <f>IF(A1347="",0,SUMIF(Rechner!$A$12:$A$21,A1347,Rechner!$B$12:$B$21))</f>
        <v/>
      </c>
      <c r="G1347">
        <f>H1346+E1347</f>
        <v/>
      </c>
      <c r="H1347">
        <f>G1347-MIN(F1347,G1347)</f>
        <v/>
      </c>
      <c r="I1347">
        <f>MIN(F1347-MIN(F1347,G1347),D1347)</f>
        <v/>
      </c>
      <c r="J1347">
        <f>D1347-I1347</f>
        <v/>
      </c>
      <c r="K1347">
        <f>F1347-MIN(F1347,G1347)-I1347</f>
        <v/>
      </c>
    </row>
    <row r="1348">
      <c r="A1348" s="21">
        <f>IF(Rechner!$E$4&lt;&gt;"ok","",IF(Rechner!$E$5+1346&lt;=Rechner!$B$6,Rechner!$E$5+1346,""))</f>
        <v/>
      </c>
      <c r="B1348">
        <f>IF(A1348="","",LOOKUP(A1348,Basiszins!$A$5:$A$18,Basiszins!$B$5:$B$18))</f>
        <v/>
      </c>
      <c r="C1348">
        <f>IF(A1348="","",B1348+Rechner!$E$7)</f>
        <v/>
      </c>
      <c r="D1348">
        <f>J1347</f>
        <v/>
      </c>
      <c r="E1348">
        <f>IF(A1348="",0,D1348*C1348/100/(DATE(YEAR(A1348)+1,1,1)-DATE(YEAR(A1348),1,1)))</f>
        <v/>
      </c>
      <c r="F1348">
        <f>IF(A1348="",0,SUMIF(Rechner!$A$12:$A$21,A1348,Rechner!$B$12:$B$21))</f>
        <v/>
      </c>
      <c r="G1348">
        <f>H1347+E1348</f>
        <v/>
      </c>
      <c r="H1348">
        <f>G1348-MIN(F1348,G1348)</f>
        <v/>
      </c>
      <c r="I1348">
        <f>MIN(F1348-MIN(F1348,G1348),D1348)</f>
        <v/>
      </c>
      <c r="J1348">
        <f>D1348-I1348</f>
        <v/>
      </c>
      <c r="K1348">
        <f>F1348-MIN(F1348,G1348)-I1348</f>
        <v/>
      </c>
    </row>
    <row r="1349">
      <c r="A1349" s="21">
        <f>IF(Rechner!$E$4&lt;&gt;"ok","",IF(Rechner!$E$5+1347&lt;=Rechner!$B$6,Rechner!$E$5+1347,""))</f>
        <v/>
      </c>
      <c r="B1349">
        <f>IF(A1349="","",LOOKUP(A1349,Basiszins!$A$5:$A$18,Basiszins!$B$5:$B$18))</f>
        <v/>
      </c>
      <c r="C1349">
        <f>IF(A1349="","",B1349+Rechner!$E$7)</f>
        <v/>
      </c>
      <c r="D1349">
        <f>J1348</f>
        <v/>
      </c>
      <c r="E1349">
        <f>IF(A1349="",0,D1349*C1349/100/(DATE(YEAR(A1349)+1,1,1)-DATE(YEAR(A1349),1,1)))</f>
        <v/>
      </c>
      <c r="F1349">
        <f>IF(A1349="",0,SUMIF(Rechner!$A$12:$A$21,A1349,Rechner!$B$12:$B$21))</f>
        <v/>
      </c>
      <c r="G1349">
        <f>H1348+E1349</f>
        <v/>
      </c>
      <c r="H1349">
        <f>G1349-MIN(F1349,G1349)</f>
        <v/>
      </c>
      <c r="I1349">
        <f>MIN(F1349-MIN(F1349,G1349),D1349)</f>
        <v/>
      </c>
      <c r="J1349">
        <f>D1349-I1349</f>
        <v/>
      </c>
      <c r="K1349">
        <f>F1349-MIN(F1349,G1349)-I1349</f>
        <v/>
      </c>
    </row>
    <row r="1350">
      <c r="A1350" s="21">
        <f>IF(Rechner!$E$4&lt;&gt;"ok","",IF(Rechner!$E$5+1348&lt;=Rechner!$B$6,Rechner!$E$5+1348,""))</f>
        <v/>
      </c>
      <c r="B1350">
        <f>IF(A1350="","",LOOKUP(A1350,Basiszins!$A$5:$A$18,Basiszins!$B$5:$B$18))</f>
        <v/>
      </c>
      <c r="C1350">
        <f>IF(A1350="","",B1350+Rechner!$E$7)</f>
        <v/>
      </c>
      <c r="D1350">
        <f>J1349</f>
        <v/>
      </c>
      <c r="E1350">
        <f>IF(A1350="",0,D1350*C1350/100/(DATE(YEAR(A1350)+1,1,1)-DATE(YEAR(A1350),1,1)))</f>
        <v/>
      </c>
      <c r="F1350">
        <f>IF(A1350="",0,SUMIF(Rechner!$A$12:$A$21,A1350,Rechner!$B$12:$B$21))</f>
        <v/>
      </c>
      <c r="G1350">
        <f>H1349+E1350</f>
        <v/>
      </c>
      <c r="H1350">
        <f>G1350-MIN(F1350,G1350)</f>
        <v/>
      </c>
      <c r="I1350">
        <f>MIN(F1350-MIN(F1350,G1350),D1350)</f>
        <v/>
      </c>
      <c r="J1350">
        <f>D1350-I1350</f>
        <v/>
      </c>
      <c r="K1350">
        <f>F1350-MIN(F1350,G1350)-I1350</f>
        <v/>
      </c>
    </row>
    <row r="1351">
      <c r="A1351" s="21">
        <f>IF(Rechner!$E$4&lt;&gt;"ok","",IF(Rechner!$E$5+1349&lt;=Rechner!$B$6,Rechner!$E$5+1349,""))</f>
        <v/>
      </c>
      <c r="B1351">
        <f>IF(A1351="","",LOOKUP(A1351,Basiszins!$A$5:$A$18,Basiszins!$B$5:$B$18))</f>
        <v/>
      </c>
      <c r="C1351">
        <f>IF(A1351="","",B1351+Rechner!$E$7)</f>
        <v/>
      </c>
      <c r="D1351">
        <f>J1350</f>
        <v/>
      </c>
      <c r="E1351">
        <f>IF(A1351="",0,D1351*C1351/100/(DATE(YEAR(A1351)+1,1,1)-DATE(YEAR(A1351),1,1)))</f>
        <v/>
      </c>
      <c r="F1351">
        <f>IF(A1351="",0,SUMIF(Rechner!$A$12:$A$21,A1351,Rechner!$B$12:$B$21))</f>
        <v/>
      </c>
      <c r="G1351">
        <f>H1350+E1351</f>
        <v/>
      </c>
      <c r="H1351">
        <f>G1351-MIN(F1351,G1351)</f>
        <v/>
      </c>
      <c r="I1351">
        <f>MIN(F1351-MIN(F1351,G1351),D1351)</f>
        <v/>
      </c>
      <c r="J1351">
        <f>D1351-I1351</f>
        <v/>
      </c>
      <c r="K1351">
        <f>F1351-MIN(F1351,G1351)-I1351</f>
        <v/>
      </c>
    </row>
    <row r="1352">
      <c r="A1352" s="21">
        <f>IF(Rechner!$E$4&lt;&gt;"ok","",IF(Rechner!$E$5+1350&lt;=Rechner!$B$6,Rechner!$E$5+1350,""))</f>
        <v/>
      </c>
      <c r="B1352">
        <f>IF(A1352="","",LOOKUP(A1352,Basiszins!$A$5:$A$18,Basiszins!$B$5:$B$18))</f>
        <v/>
      </c>
      <c r="C1352">
        <f>IF(A1352="","",B1352+Rechner!$E$7)</f>
        <v/>
      </c>
      <c r="D1352">
        <f>J1351</f>
        <v/>
      </c>
      <c r="E1352">
        <f>IF(A1352="",0,D1352*C1352/100/(DATE(YEAR(A1352)+1,1,1)-DATE(YEAR(A1352),1,1)))</f>
        <v/>
      </c>
      <c r="F1352">
        <f>IF(A1352="",0,SUMIF(Rechner!$A$12:$A$21,A1352,Rechner!$B$12:$B$21))</f>
        <v/>
      </c>
      <c r="G1352">
        <f>H1351+E1352</f>
        <v/>
      </c>
      <c r="H1352">
        <f>G1352-MIN(F1352,G1352)</f>
        <v/>
      </c>
      <c r="I1352">
        <f>MIN(F1352-MIN(F1352,G1352),D1352)</f>
        <v/>
      </c>
      <c r="J1352">
        <f>D1352-I1352</f>
        <v/>
      </c>
      <c r="K1352">
        <f>F1352-MIN(F1352,G1352)-I1352</f>
        <v/>
      </c>
    </row>
    <row r="1353">
      <c r="A1353" s="21">
        <f>IF(Rechner!$E$4&lt;&gt;"ok","",IF(Rechner!$E$5+1351&lt;=Rechner!$B$6,Rechner!$E$5+1351,""))</f>
        <v/>
      </c>
      <c r="B1353">
        <f>IF(A1353="","",LOOKUP(A1353,Basiszins!$A$5:$A$18,Basiszins!$B$5:$B$18))</f>
        <v/>
      </c>
      <c r="C1353">
        <f>IF(A1353="","",B1353+Rechner!$E$7)</f>
        <v/>
      </c>
      <c r="D1353">
        <f>J1352</f>
        <v/>
      </c>
      <c r="E1353">
        <f>IF(A1353="",0,D1353*C1353/100/(DATE(YEAR(A1353)+1,1,1)-DATE(YEAR(A1353),1,1)))</f>
        <v/>
      </c>
      <c r="F1353">
        <f>IF(A1353="",0,SUMIF(Rechner!$A$12:$A$21,A1353,Rechner!$B$12:$B$21))</f>
        <v/>
      </c>
      <c r="G1353">
        <f>H1352+E1353</f>
        <v/>
      </c>
      <c r="H1353">
        <f>G1353-MIN(F1353,G1353)</f>
        <v/>
      </c>
      <c r="I1353">
        <f>MIN(F1353-MIN(F1353,G1353),D1353)</f>
        <v/>
      </c>
      <c r="J1353">
        <f>D1353-I1353</f>
        <v/>
      </c>
      <c r="K1353">
        <f>F1353-MIN(F1353,G1353)-I1353</f>
        <v/>
      </c>
    </row>
    <row r="1354">
      <c r="A1354" s="21">
        <f>IF(Rechner!$E$4&lt;&gt;"ok","",IF(Rechner!$E$5+1352&lt;=Rechner!$B$6,Rechner!$E$5+1352,""))</f>
        <v/>
      </c>
      <c r="B1354">
        <f>IF(A1354="","",LOOKUP(A1354,Basiszins!$A$5:$A$18,Basiszins!$B$5:$B$18))</f>
        <v/>
      </c>
      <c r="C1354">
        <f>IF(A1354="","",B1354+Rechner!$E$7)</f>
        <v/>
      </c>
      <c r="D1354">
        <f>J1353</f>
        <v/>
      </c>
      <c r="E1354">
        <f>IF(A1354="",0,D1354*C1354/100/(DATE(YEAR(A1354)+1,1,1)-DATE(YEAR(A1354),1,1)))</f>
        <v/>
      </c>
      <c r="F1354">
        <f>IF(A1354="",0,SUMIF(Rechner!$A$12:$A$21,A1354,Rechner!$B$12:$B$21))</f>
        <v/>
      </c>
      <c r="G1354">
        <f>H1353+E1354</f>
        <v/>
      </c>
      <c r="H1354">
        <f>G1354-MIN(F1354,G1354)</f>
        <v/>
      </c>
      <c r="I1354">
        <f>MIN(F1354-MIN(F1354,G1354),D1354)</f>
        <v/>
      </c>
      <c r="J1354">
        <f>D1354-I1354</f>
        <v/>
      </c>
      <c r="K1354">
        <f>F1354-MIN(F1354,G1354)-I1354</f>
        <v/>
      </c>
    </row>
    <row r="1355">
      <c r="A1355" s="21">
        <f>IF(Rechner!$E$4&lt;&gt;"ok","",IF(Rechner!$E$5+1353&lt;=Rechner!$B$6,Rechner!$E$5+1353,""))</f>
        <v/>
      </c>
      <c r="B1355">
        <f>IF(A1355="","",LOOKUP(A1355,Basiszins!$A$5:$A$18,Basiszins!$B$5:$B$18))</f>
        <v/>
      </c>
      <c r="C1355">
        <f>IF(A1355="","",B1355+Rechner!$E$7)</f>
        <v/>
      </c>
      <c r="D1355">
        <f>J1354</f>
        <v/>
      </c>
      <c r="E1355">
        <f>IF(A1355="",0,D1355*C1355/100/(DATE(YEAR(A1355)+1,1,1)-DATE(YEAR(A1355),1,1)))</f>
        <v/>
      </c>
      <c r="F1355">
        <f>IF(A1355="",0,SUMIF(Rechner!$A$12:$A$21,A1355,Rechner!$B$12:$B$21))</f>
        <v/>
      </c>
      <c r="G1355">
        <f>H1354+E1355</f>
        <v/>
      </c>
      <c r="H1355">
        <f>G1355-MIN(F1355,G1355)</f>
        <v/>
      </c>
      <c r="I1355">
        <f>MIN(F1355-MIN(F1355,G1355),D1355)</f>
        <v/>
      </c>
      <c r="J1355">
        <f>D1355-I1355</f>
        <v/>
      </c>
      <c r="K1355">
        <f>F1355-MIN(F1355,G1355)-I1355</f>
        <v/>
      </c>
    </row>
    <row r="1356">
      <c r="A1356" s="21">
        <f>IF(Rechner!$E$4&lt;&gt;"ok","",IF(Rechner!$E$5+1354&lt;=Rechner!$B$6,Rechner!$E$5+1354,""))</f>
        <v/>
      </c>
      <c r="B1356">
        <f>IF(A1356="","",LOOKUP(A1356,Basiszins!$A$5:$A$18,Basiszins!$B$5:$B$18))</f>
        <v/>
      </c>
      <c r="C1356">
        <f>IF(A1356="","",B1356+Rechner!$E$7)</f>
        <v/>
      </c>
      <c r="D1356">
        <f>J1355</f>
        <v/>
      </c>
      <c r="E1356">
        <f>IF(A1356="",0,D1356*C1356/100/(DATE(YEAR(A1356)+1,1,1)-DATE(YEAR(A1356),1,1)))</f>
        <v/>
      </c>
      <c r="F1356">
        <f>IF(A1356="",0,SUMIF(Rechner!$A$12:$A$21,A1356,Rechner!$B$12:$B$21))</f>
        <v/>
      </c>
      <c r="G1356">
        <f>H1355+E1356</f>
        <v/>
      </c>
      <c r="H1356">
        <f>G1356-MIN(F1356,G1356)</f>
        <v/>
      </c>
      <c r="I1356">
        <f>MIN(F1356-MIN(F1356,G1356),D1356)</f>
        <v/>
      </c>
      <c r="J1356">
        <f>D1356-I1356</f>
        <v/>
      </c>
      <c r="K1356">
        <f>F1356-MIN(F1356,G1356)-I1356</f>
        <v/>
      </c>
    </row>
    <row r="1357">
      <c r="A1357" s="21">
        <f>IF(Rechner!$E$4&lt;&gt;"ok","",IF(Rechner!$E$5+1355&lt;=Rechner!$B$6,Rechner!$E$5+1355,""))</f>
        <v/>
      </c>
      <c r="B1357">
        <f>IF(A1357="","",LOOKUP(A1357,Basiszins!$A$5:$A$18,Basiszins!$B$5:$B$18))</f>
        <v/>
      </c>
      <c r="C1357">
        <f>IF(A1357="","",B1357+Rechner!$E$7)</f>
        <v/>
      </c>
      <c r="D1357">
        <f>J1356</f>
        <v/>
      </c>
      <c r="E1357">
        <f>IF(A1357="",0,D1357*C1357/100/(DATE(YEAR(A1357)+1,1,1)-DATE(YEAR(A1357),1,1)))</f>
        <v/>
      </c>
      <c r="F1357">
        <f>IF(A1357="",0,SUMIF(Rechner!$A$12:$A$21,A1357,Rechner!$B$12:$B$21))</f>
        <v/>
      </c>
      <c r="G1357">
        <f>H1356+E1357</f>
        <v/>
      </c>
      <c r="H1357">
        <f>G1357-MIN(F1357,G1357)</f>
        <v/>
      </c>
      <c r="I1357">
        <f>MIN(F1357-MIN(F1357,G1357),D1357)</f>
        <v/>
      </c>
      <c r="J1357">
        <f>D1357-I1357</f>
        <v/>
      </c>
      <c r="K1357">
        <f>F1357-MIN(F1357,G1357)-I1357</f>
        <v/>
      </c>
    </row>
    <row r="1358">
      <c r="A1358" s="21">
        <f>IF(Rechner!$E$4&lt;&gt;"ok","",IF(Rechner!$E$5+1356&lt;=Rechner!$B$6,Rechner!$E$5+1356,""))</f>
        <v/>
      </c>
      <c r="B1358">
        <f>IF(A1358="","",LOOKUP(A1358,Basiszins!$A$5:$A$18,Basiszins!$B$5:$B$18))</f>
        <v/>
      </c>
      <c r="C1358">
        <f>IF(A1358="","",B1358+Rechner!$E$7)</f>
        <v/>
      </c>
      <c r="D1358">
        <f>J1357</f>
        <v/>
      </c>
      <c r="E1358">
        <f>IF(A1358="",0,D1358*C1358/100/(DATE(YEAR(A1358)+1,1,1)-DATE(YEAR(A1358),1,1)))</f>
        <v/>
      </c>
      <c r="F1358">
        <f>IF(A1358="",0,SUMIF(Rechner!$A$12:$A$21,A1358,Rechner!$B$12:$B$21))</f>
        <v/>
      </c>
      <c r="G1358">
        <f>H1357+E1358</f>
        <v/>
      </c>
      <c r="H1358">
        <f>G1358-MIN(F1358,G1358)</f>
        <v/>
      </c>
      <c r="I1358">
        <f>MIN(F1358-MIN(F1358,G1358),D1358)</f>
        <v/>
      </c>
      <c r="J1358">
        <f>D1358-I1358</f>
        <v/>
      </c>
      <c r="K1358">
        <f>F1358-MIN(F1358,G1358)-I1358</f>
        <v/>
      </c>
    </row>
    <row r="1359">
      <c r="A1359" s="21">
        <f>IF(Rechner!$E$4&lt;&gt;"ok","",IF(Rechner!$E$5+1357&lt;=Rechner!$B$6,Rechner!$E$5+1357,""))</f>
        <v/>
      </c>
      <c r="B1359">
        <f>IF(A1359="","",LOOKUP(A1359,Basiszins!$A$5:$A$18,Basiszins!$B$5:$B$18))</f>
        <v/>
      </c>
      <c r="C1359">
        <f>IF(A1359="","",B1359+Rechner!$E$7)</f>
        <v/>
      </c>
      <c r="D1359">
        <f>J1358</f>
        <v/>
      </c>
      <c r="E1359">
        <f>IF(A1359="",0,D1359*C1359/100/(DATE(YEAR(A1359)+1,1,1)-DATE(YEAR(A1359),1,1)))</f>
        <v/>
      </c>
      <c r="F1359">
        <f>IF(A1359="",0,SUMIF(Rechner!$A$12:$A$21,A1359,Rechner!$B$12:$B$21))</f>
        <v/>
      </c>
      <c r="G1359">
        <f>H1358+E1359</f>
        <v/>
      </c>
      <c r="H1359">
        <f>G1359-MIN(F1359,G1359)</f>
        <v/>
      </c>
      <c r="I1359">
        <f>MIN(F1359-MIN(F1359,G1359),D1359)</f>
        <v/>
      </c>
      <c r="J1359">
        <f>D1359-I1359</f>
        <v/>
      </c>
      <c r="K1359">
        <f>F1359-MIN(F1359,G1359)-I1359</f>
        <v/>
      </c>
    </row>
    <row r="1360">
      <c r="A1360" s="21">
        <f>IF(Rechner!$E$4&lt;&gt;"ok","",IF(Rechner!$E$5+1358&lt;=Rechner!$B$6,Rechner!$E$5+1358,""))</f>
        <v/>
      </c>
      <c r="B1360">
        <f>IF(A1360="","",LOOKUP(A1360,Basiszins!$A$5:$A$18,Basiszins!$B$5:$B$18))</f>
        <v/>
      </c>
      <c r="C1360">
        <f>IF(A1360="","",B1360+Rechner!$E$7)</f>
        <v/>
      </c>
      <c r="D1360">
        <f>J1359</f>
        <v/>
      </c>
      <c r="E1360">
        <f>IF(A1360="",0,D1360*C1360/100/(DATE(YEAR(A1360)+1,1,1)-DATE(YEAR(A1360),1,1)))</f>
        <v/>
      </c>
      <c r="F1360">
        <f>IF(A1360="",0,SUMIF(Rechner!$A$12:$A$21,A1360,Rechner!$B$12:$B$21))</f>
        <v/>
      </c>
      <c r="G1360">
        <f>H1359+E1360</f>
        <v/>
      </c>
      <c r="H1360">
        <f>G1360-MIN(F1360,G1360)</f>
        <v/>
      </c>
      <c r="I1360">
        <f>MIN(F1360-MIN(F1360,G1360),D1360)</f>
        <v/>
      </c>
      <c r="J1360">
        <f>D1360-I1360</f>
        <v/>
      </c>
      <c r="K1360">
        <f>F1360-MIN(F1360,G1360)-I1360</f>
        <v/>
      </c>
    </row>
    <row r="1361">
      <c r="A1361" s="21">
        <f>IF(Rechner!$E$4&lt;&gt;"ok","",IF(Rechner!$E$5+1359&lt;=Rechner!$B$6,Rechner!$E$5+1359,""))</f>
        <v/>
      </c>
      <c r="B1361">
        <f>IF(A1361="","",LOOKUP(A1361,Basiszins!$A$5:$A$18,Basiszins!$B$5:$B$18))</f>
        <v/>
      </c>
      <c r="C1361">
        <f>IF(A1361="","",B1361+Rechner!$E$7)</f>
        <v/>
      </c>
      <c r="D1361">
        <f>J1360</f>
        <v/>
      </c>
      <c r="E1361">
        <f>IF(A1361="",0,D1361*C1361/100/(DATE(YEAR(A1361)+1,1,1)-DATE(YEAR(A1361),1,1)))</f>
        <v/>
      </c>
      <c r="F1361">
        <f>IF(A1361="",0,SUMIF(Rechner!$A$12:$A$21,A1361,Rechner!$B$12:$B$21))</f>
        <v/>
      </c>
      <c r="G1361">
        <f>H1360+E1361</f>
        <v/>
      </c>
      <c r="H1361">
        <f>G1361-MIN(F1361,G1361)</f>
        <v/>
      </c>
      <c r="I1361">
        <f>MIN(F1361-MIN(F1361,G1361),D1361)</f>
        <v/>
      </c>
      <c r="J1361">
        <f>D1361-I1361</f>
        <v/>
      </c>
      <c r="K1361">
        <f>F1361-MIN(F1361,G1361)-I1361</f>
        <v/>
      </c>
    </row>
    <row r="1362">
      <c r="A1362" s="21">
        <f>IF(Rechner!$E$4&lt;&gt;"ok","",IF(Rechner!$E$5+1360&lt;=Rechner!$B$6,Rechner!$E$5+1360,""))</f>
        <v/>
      </c>
      <c r="B1362">
        <f>IF(A1362="","",LOOKUP(A1362,Basiszins!$A$5:$A$18,Basiszins!$B$5:$B$18))</f>
        <v/>
      </c>
      <c r="C1362">
        <f>IF(A1362="","",B1362+Rechner!$E$7)</f>
        <v/>
      </c>
      <c r="D1362">
        <f>J1361</f>
        <v/>
      </c>
      <c r="E1362">
        <f>IF(A1362="",0,D1362*C1362/100/(DATE(YEAR(A1362)+1,1,1)-DATE(YEAR(A1362),1,1)))</f>
        <v/>
      </c>
      <c r="F1362">
        <f>IF(A1362="",0,SUMIF(Rechner!$A$12:$A$21,A1362,Rechner!$B$12:$B$21))</f>
        <v/>
      </c>
      <c r="G1362">
        <f>H1361+E1362</f>
        <v/>
      </c>
      <c r="H1362">
        <f>G1362-MIN(F1362,G1362)</f>
        <v/>
      </c>
      <c r="I1362">
        <f>MIN(F1362-MIN(F1362,G1362),D1362)</f>
        <v/>
      </c>
      <c r="J1362">
        <f>D1362-I1362</f>
        <v/>
      </c>
      <c r="K1362">
        <f>F1362-MIN(F1362,G1362)-I1362</f>
        <v/>
      </c>
    </row>
    <row r="1363">
      <c r="A1363" s="21">
        <f>IF(Rechner!$E$4&lt;&gt;"ok","",IF(Rechner!$E$5+1361&lt;=Rechner!$B$6,Rechner!$E$5+1361,""))</f>
        <v/>
      </c>
      <c r="B1363">
        <f>IF(A1363="","",LOOKUP(A1363,Basiszins!$A$5:$A$18,Basiszins!$B$5:$B$18))</f>
        <v/>
      </c>
      <c r="C1363">
        <f>IF(A1363="","",B1363+Rechner!$E$7)</f>
        <v/>
      </c>
      <c r="D1363">
        <f>J1362</f>
        <v/>
      </c>
      <c r="E1363">
        <f>IF(A1363="",0,D1363*C1363/100/(DATE(YEAR(A1363)+1,1,1)-DATE(YEAR(A1363),1,1)))</f>
        <v/>
      </c>
      <c r="F1363">
        <f>IF(A1363="",0,SUMIF(Rechner!$A$12:$A$21,A1363,Rechner!$B$12:$B$21))</f>
        <v/>
      </c>
      <c r="G1363">
        <f>H1362+E1363</f>
        <v/>
      </c>
      <c r="H1363">
        <f>G1363-MIN(F1363,G1363)</f>
        <v/>
      </c>
      <c r="I1363">
        <f>MIN(F1363-MIN(F1363,G1363),D1363)</f>
        <v/>
      </c>
      <c r="J1363">
        <f>D1363-I1363</f>
        <v/>
      </c>
      <c r="K1363">
        <f>F1363-MIN(F1363,G1363)-I1363</f>
        <v/>
      </c>
    </row>
    <row r="1364">
      <c r="A1364" s="21">
        <f>IF(Rechner!$E$4&lt;&gt;"ok","",IF(Rechner!$E$5+1362&lt;=Rechner!$B$6,Rechner!$E$5+1362,""))</f>
        <v/>
      </c>
      <c r="B1364">
        <f>IF(A1364="","",LOOKUP(A1364,Basiszins!$A$5:$A$18,Basiszins!$B$5:$B$18))</f>
        <v/>
      </c>
      <c r="C1364">
        <f>IF(A1364="","",B1364+Rechner!$E$7)</f>
        <v/>
      </c>
      <c r="D1364">
        <f>J1363</f>
        <v/>
      </c>
      <c r="E1364">
        <f>IF(A1364="",0,D1364*C1364/100/(DATE(YEAR(A1364)+1,1,1)-DATE(YEAR(A1364),1,1)))</f>
        <v/>
      </c>
      <c r="F1364">
        <f>IF(A1364="",0,SUMIF(Rechner!$A$12:$A$21,A1364,Rechner!$B$12:$B$21))</f>
        <v/>
      </c>
      <c r="G1364">
        <f>H1363+E1364</f>
        <v/>
      </c>
      <c r="H1364">
        <f>G1364-MIN(F1364,G1364)</f>
        <v/>
      </c>
      <c r="I1364">
        <f>MIN(F1364-MIN(F1364,G1364),D1364)</f>
        <v/>
      </c>
      <c r="J1364">
        <f>D1364-I1364</f>
        <v/>
      </c>
      <c r="K1364">
        <f>F1364-MIN(F1364,G1364)-I1364</f>
        <v/>
      </c>
    </row>
    <row r="1365">
      <c r="A1365" s="21">
        <f>IF(Rechner!$E$4&lt;&gt;"ok","",IF(Rechner!$E$5+1363&lt;=Rechner!$B$6,Rechner!$E$5+1363,""))</f>
        <v/>
      </c>
      <c r="B1365">
        <f>IF(A1365="","",LOOKUP(A1365,Basiszins!$A$5:$A$18,Basiszins!$B$5:$B$18))</f>
        <v/>
      </c>
      <c r="C1365">
        <f>IF(A1365="","",B1365+Rechner!$E$7)</f>
        <v/>
      </c>
      <c r="D1365">
        <f>J1364</f>
        <v/>
      </c>
      <c r="E1365">
        <f>IF(A1365="",0,D1365*C1365/100/(DATE(YEAR(A1365)+1,1,1)-DATE(YEAR(A1365),1,1)))</f>
        <v/>
      </c>
      <c r="F1365">
        <f>IF(A1365="",0,SUMIF(Rechner!$A$12:$A$21,A1365,Rechner!$B$12:$B$21))</f>
        <v/>
      </c>
      <c r="G1365">
        <f>H1364+E1365</f>
        <v/>
      </c>
      <c r="H1365">
        <f>G1365-MIN(F1365,G1365)</f>
        <v/>
      </c>
      <c r="I1365">
        <f>MIN(F1365-MIN(F1365,G1365),D1365)</f>
        <v/>
      </c>
      <c r="J1365">
        <f>D1365-I1365</f>
        <v/>
      </c>
      <c r="K1365">
        <f>F1365-MIN(F1365,G1365)-I1365</f>
        <v/>
      </c>
    </row>
    <row r="1366">
      <c r="A1366" s="21">
        <f>IF(Rechner!$E$4&lt;&gt;"ok","",IF(Rechner!$E$5+1364&lt;=Rechner!$B$6,Rechner!$E$5+1364,""))</f>
        <v/>
      </c>
      <c r="B1366">
        <f>IF(A1366="","",LOOKUP(A1366,Basiszins!$A$5:$A$18,Basiszins!$B$5:$B$18))</f>
        <v/>
      </c>
      <c r="C1366">
        <f>IF(A1366="","",B1366+Rechner!$E$7)</f>
        <v/>
      </c>
      <c r="D1366">
        <f>J1365</f>
        <v/>
      </c>
      <c r="E1366">
        <f>IF(A1366="",0,D1366*C1366/100/(DATE(YEAR(A1366)+1,1,1)-DATE(YEAR(A1366),1,1)))</f>
        <v/>
      </c>
      <c r="F1366">
        <f>IF(A1366="",0,SUMIF(Rechner!$A$12:$A$21,A1366,Rechner!$B$12:$B$21))</f>
        <v/>
      </c>
      <c r="G1366">
        <f>H1365+E1366</f>
        <v/>
      </c>
      <c r="H1366">
        <f>G1366-MIN(F1366,G1366)</f>
        <v/>
      </c>
      <c r="I1366">
        <f>MIN(F1366-MIN(F1366,G1366),D1366)</f>
        <v/>
      </c>
      <c r="J1366">
        <f>D1366-I1366</f>
        <v/>
      </c>
      <c r="K1366">
        <f>F1366-MIN(F1366,G1366)-I1366</f>
        <v/>
      </c>
    </row>
    <row r="1367">
      <c r="A1367" s="21">
        <f>IF(Rechner!$E$4&lt;&gt;"ok","",IF(Rechner!$E$5+1365&lt;=Rechner!$B$6,Rechner!$E$5+1365,""))</f>
        <v/>
      </c>
      <c r="B1367">
        <f>IF(A1367="","",LOOKUP(A1367,Basiszins!$A$5:$A$18,Basiszins!$B$5:$B$18))</f>
        <v/>
      </c>
      <c r="C1367">
        <f>IF(A1367="","",B1367+Rechner!$E$7)</f>
        <v/>
      </c>
      <c r="D1367">
        <f>J1366</f>
        <v/>
      </c>
      <c r="E1367">
        <f>IF(A1367="",0,D1367*C1367/100/(DATE(YEAR(A1367)+1,1,1)-DATE(YEAR(A1367),1,1)))</f>
        <v/>
      </c>
      <c r="F1367">
        <f>IF(A1367="",0,SUMIF(Rechner!$A$12:$A$21,A1367,Rechner!$B$12:$B$21))</f>
        <v/>
      </c>
      <c r="G1367">
        <f>H1366+E1367</f>
        <v/>
      </c>
      <c r="H1367">
        <f>G1367-MIN(F1367,G1367)</f>
        <v/>
      </c>
      <c r="I1367">
        <f>MIN(F1367-MIN(F1367,G1367),D1367)</f>
        <v/>
      </c>
      <c r="J1367">
        <f>D1367-I1367</f>
        <v/>
      </c>
      <c r="K1367">
        <f>F1367-MIN(F1367,G1367)-I1367</f>
        <v/>
      </c>
    </row>
    <row r="1368">
      <c r="A1368" s="21">
        <f>IF(Rechner!$E$4&lt;&gt;"ok","",IF(Rechner!$E$5+1366&lt;=Rechner!$B$6,Rechner!$E$5+1366,""))</f>
        <v/>
      </c>
      <c r="B1368">
        <f>IF(A1368="","",LOOKUP(A1368,Basiszins!$A$5:$A$18,Basiszins!$B$5:$B$18))</f>
        <v/>
      </c>
      <c r="C1368">
        <f>IF(A1368="","",B1368+Rechner!$E$7)</f>
        <v/>
      </c>
      <c r="D1368">
        <f>J1367</f>
        <v/>
      </c>
      <c r="E1368">
        <f>IF(A1368="",0,D1368*C1368/100/(DATE(YEAR(A1368)+1,1,1)-DATE(YEAR(A1368),1,1)))</f>
        <v/>
      </c>
      <c r="F1368">
        <f>IF(A1368="",0,SUMIF(Rechner!$A$12:$A$21,A1368,Rechner!$B$12:$B$21))</f>
        <v/>
      </c>
      <c r="G1368">
        <f>H1367+E1368</f>
        <v/>
      </c>
      <c r="H1368">
        <f>G1368-MIN(F1368,G1368)</f>
        <v/>
      </c>
      <c r="I1368">
        <f>MIN(F1368-MIN(F1368,G1368),D1368)</f>
        <v/>
      </c>
      <c r="J1368">
        <f>D1368-I1368</f>
        <v/>
      </c>
      <c r="K1368">
        <f>F1368-MIN(F1368,G1368)-I1368</f>
        <v/>
      </c>
    </row>
    <row r="1369">
      <c r="A1369" s="21">
        <f>IF(Rechner!$E$4&lt;&gt;"ok","",IF(Rechner!$E$5+1367&lt;=Rechner!$B$6,Rechner!$E$5+1367,""))</f>
        <v/>
      </c>
      <c r="B1369">
        <f>IF(A1369="","",LOOKUP(A1369,Basiszins!$A$5:$A$18,Basiszins!$B$5:$B$18))</f>
        <v/>
      </c>
      <c r="C1369">
        <f>IF(A1369="","",B1369+Rechner!$E$7)</f>
        <v/>
      </c>
      <c r="D1369">
        <f>J1368</f>
        <v/>
      </c>
      <c r="E1369">
        <f>IF(A1369="",0,D1369*C1369/100/(DATE(YEAR(A1369)+1,1,1)-DATE(YEAR(A1369),1,1)))</f>
        <v/>
      </c>
      <c r="F1369">
        <f>IF(A1369="",0,SUMIF(Rechner!$A$12:$A$21,A1369,Rechner!$B$12:$B$21))</f>
        <v/>
      </c>
      <c r="G1369">
        <f>H1368+E1369</f>
        <v/>
      </c>
      <c r="H1369">
        <f>G1369-MIN(F1369,G1369)</f>
        <v/>
      </c>
      <c r="I1369">
        <f>MIN(F1369-MIN(F1369,G1369),D1369)</f>
        <v/>
      </c>
      <c r="J1369">
        <f>D1369-I1369</f>
        <v/>
      </c>
      <c r="K1369">
        <f>F1369-MIN(F1369,G1369)-I1369</f>
        <v/>
      </c>
    </row>
    <row r="1370">
      <c r="A1370" s="21">
        <f>IF(Rechner!$E$4&lt;&gt;"ok","",IF(Rechner!$E$5+1368&lt;=Rechner!$B$6,Rechner!$E$5+1368,""))</f>
        <v/>
      </c>
      <c r="B1370">
        <f>IF(A1370="","",LOOKUP(A1370,Basiszins!$A$5:$A$18,Basiszins!$B$5:$B$18))</f>
        <v/>
      </c>
      <c r="C1370">
        <f>IF(A1370="","",B1370+Rechner!$E$7)</f>
        <v/>
      </c>
      <c r="D1370">
        <f>J1369</f>
        <v/>
      </c>
      <c r="E1370">
        <f>IF(A1370="",0,D1370*C1370/100/(DATE(YEAR(A1370)+1,1,1)-DATE(YEAR(A1370),1,1)))</f>
        <v/>
      </c>
      <c r="F1370">
        <f>IF(A1370="",0,SUMIF(Rechner!$A$12:$A$21,A1370,Rechner!$B$12:$B$21))</f>
        <v/>
      </c>
      <c r="G1370">
        <f>H1369+E1370</f>
        <v/>
      </c>
      <c r="H1370">
        <f>G1370-MIN(F1370,G1370)</f>
        <v/>
      </c>
      <c r="I1370">
        <f>MIN(F1370-MIN(F1370,G1370),D1370)</f>
        <v/>
      </c>
      <c r="J1370">
        <f>D1370-I1370</f>
        <v/>
      </c>
      <c r="K1370">
        <f>F1370-MIN(F1370,G1370)-I1370</f>
        <v/>
      </c>
    </row>
    <row r="1371">
      <c r="A1371" s="21">
        <f>IF(Rechner!$E$4&lt;&gt;"ok","",IF(Rechner!$E$5+1369&lt;=Rechner!$B$6,Rechner!$E$5+1369,""))</f>
        <v/>
      </c>
      <c r="B1371">
        <f>IF(A1371="","",LOOKUP(A1371,Basiszins!$A$5:$A$18,Basiszins!$B$5:$B$18))</f>
        <v/>
      </c>
      <c r="C1371">
        <f>IF(A1371="","",B1371+Rechner!$E$7)</f>
        <v/>
      </c>
      <c r="D1371">
        <f>J1370</f>
        <v/>
      </c>
      <c r="E1371">
        <f>IF(A1371="",0,D1371*C1371/100/(DATE(YEAR(A1371)+1,1,1)-DATE(YEAR(A1371),1,1)))</f>
        <v/>
      </c>
      <c r="F1371">
        <f>IF(A1371="",0,SUMIF(Rechner!$A$12:$A$21,A1371,Rechner!$B$12:$B$21))</f>
        <v/>
      </c>
      <c r="G1371">
        <f>H1370+E1371</f>
        <v/>
      </c>
      <c r="H1371">
        <f>G1371-MIN(F1371,G1371)</f>
        <v/>
      </c>
      <c r="I1371">
        <f>MIN(F1371-MIN(F1371,G1371),D1371)</f>
        <v/>
      </c>
      <c r="J1371">
        <f>D1371-I1371</f>
        <v/>
      </c>
      <c r="K1371">
        <f>F1371-MIN(F1371,G1371)-I1371</f>
        <v/>
      </c>
    </row>
    <row r="1372">
      <c r="A1372" s="21">
        <f>IF(Rechner!$E$4&lt;&gt;"ok","",IF(Rechner!$E$5+1370&lt;=Rechner!$B$6,Rechner!$E$5+1370,""))</f>
        <v/>
      </c>
      <c r="B1372">
        <f>IF(A1372="","",LOOKUP(A1372,Basiszins!$A$5:$A$18,Basiszins!$B$5:$B$18))</f>
        <v/>
      </c>
      <c r="C1372">
        <f>IF(A1372="","",B1372+Rechner!$E$7)</f>
        <v/>
      </c>
      <c r="D1372">
        <f>J1371</f>
        <v/>
      </c>
      <c r="E1372">
        <f>IF(A1372="",0,D1372*C1372/100/(DATE(YEAR(A1372)+1,1,1)-DATE(YEAR(A1372),1,1)))</f>
        <v/>
      </c>
      <c r="F1372">
        <f>IF(A1372="",0,SUMIF(Rechner!$A$12:$A$21,A1372,Rechner!$B$12:$B$21))</f>
        <v/>
      </c>
      <c r="G1372">
        <f>H1371+E1372</f>
        <v/>
      </c>
      <c r="H1372">
        <f>G1372-MIN(F1372,G1372)</f>
        <v/>
      </c>
      <c r="I1372">
        <f>MIN(F1372-MIN(F1372,G1372),D1372)</f>
        <v/>
      </c>
      <c r="J1372">
        <f>D1372-I1372</f>
        <v/>
      </c>
      <c r="K1372">
        <f>F1372-MIN(F1372,G1372)-I1372</f>
        <v/>
      </c>
    </row>
    <row r="1373">
      <c r="A1373" s="21">
        <f>IF(Rechner!$E$4&lt;&gt;"ok","",IF(Rechner!$E$5+1371&lt;=Rechner!$B$6,Rechner!$E$5+1371,""))</f>
        <v/>
      </c>
      <c r="B1373">
        <f>IF(A1373="","",LOOKUP(A1373,Basiszins!$A$5:$A$18,Basiszins!$B$5:$B$18))</f>
        <v/>
      </c>
      <c r="C1373">
        <f>IF(A1373="","",B1373+Rechner!$E$7)</f>
        <v/>
      </c>
      <c r="D1373">
        <f>J1372</f>
        <v/>
      </c>
      <c r="E1373">
        <f>IF(A1373="",0,D1373*C1373/100/(DATE(YEAR(A1373)+1,1,1)-DATE(YEAR(A1373),1,1)))</f>
        <v/>
      </c>
      <c r="F1373">
        <f>IF(A1373="",0,SUMIF(Rechner!$A$12:$A$21,A1373,Rechner!$B$12:$B$21))</f>
        <v/>
      </c>
      <c r="G1373">
        <f>H1372+E1373</f>
        <v/>
      </c>
      <c r="H1373">
        <f>G1373-MIN(F1373,G1373)</f>
        <v/>
      </c>
      <c r="I1373">
        <f>MIN(F1373-MIN(F1373,G1373),D1373)</f>
        <v/>
      </c>
      <c r="J1373">
        <f>D1373-I1373</f>
        <v/>
      </c>
      <c r="K1373">
        <f>F1373-MIN(F1373,G1373)-I1373</f>
        <v/>
      </c>
    </row>
    <row r="1374">
      <c r="A1374" s="21">
        <f>IF(Rechner!$E$4&lt;&gt;"ok","",IF(Rechner!$E$5+1372&lt;=Rechner!$B$6,Rechner!$E$5+1372,""))</f>
        <v/>
      </c>
      <c r="B1374">
        <f>IF(A1374="","",LOOKUP(A1374,Basiszins!$A$5:$A$18,Basiszins!$B$5:$B$18))</f>
        <v/>
      </c>
      <c r="C1374">
        <f>IF(A1374="","",B1374+Rechner!$E$7)</f>
        <v/>
      </c>
      <c r="D1374">
        <f>J1373</f>
        <v/>
      </c>
      <c r="E1374">
        <f>IF(A1374="",0,D1374*C1374/100/(DATE(YEAR(A1374)+1,1,1)-DATE(YEAR(A1374),1,1)))</f>
        <v/>
      </c>
      <c r="F1374">
        <f>IF(A1374="",0,SUMIF(Rechner!$A$12:$A$21,A1374,Rechner!$B$12:$B$21))</f>
        <v/>
      </c>
      <c r="G1374">
        <f>H1373+E1374</f>
        <v/>
      </c>
      <c r="H1374">
        <f>G1374-MIN(F1374,G1374)</f>
        <v/>
      </c>
      <c r="I1374">
        <f>MIN(F1374-MIN(F1374,G1374),D1374)</f>
        <v/>
      </c>
      <c r="J1374">
        <f>D1374-I1374</f>
        <v/>
      </c>
      <c r="K1374">
        <f>F1374-MIN(F1374,G1374)-I1374</f>
        <v/>
      </c>
    </row>
    <row r="1375">
      <c r="A1375" s="21">
        <f>IF(Rechner!$E$4&lt;&gt;"ok","",IF(Rechner!$E$5+1373&lt;=Rechner!$B$6,Rechner!$E$5+1373,""))</f>
        <v/>
      </c>
      <c r="B1375">
        <f>IF(A1375="","",LOOKUP(A1375,Basiszins!$A$5:$A$18,Basiszins!$B$5:$B$18))</f>
        <v/>
      </c>
      <c r="C1375">
        <f>IF(A1375="","",B1375+Rechner!$E$7)</f>
        <v/>
      </c>
      <c r="D1375">
        <f>J1374</f>
        <v/>
      </c>
      <c r="E1375">
        <f>IF(A1375="",0,D1375*C1375/100/(DATE(YEAR(A1375)+1,1,1)-DATE(YEAR(A1375),1,1)))</f>
        <v/>
      </c>
      <c r="F1375">
        <f>IF(A1375="",0,SUMIF(Rechner!$A$12:$A$21,A1375,Rechner!$B$12:$B$21))</f>
        <v/>
      </c>
      <c r="G1375">
        <f>H1374+E1375</f>
        <v/>
      </c>
      <c r="H1375">
        <f>G1375-MIN(F1375,G1375)</f>
        <v/>
      </c>
      <c r="I1375">
        <f>MIN(F1375-MIN(F1375,G1375),D1375)</f>
        <v/>
      </c>
      <c r="J1375">
        <f>D1375-I1375</f>
        <v/>
      </c>
      <c r="K1375">
        <f>F1375-MIN(F1375,G1375)-I1375</f>
        <v/>
      </c>
    </row>
    <row r="1376">
      <c r="A1376" s="21">
        <f>IF(Rechner!$E$4&lt;&gt;"ok","",IF(Rechner!$E$5+1374&lt;=Rechner!$B$6,Rechner!$E$5+1374,""))</f>
        <v/>
      </c>
      <c r="B1376">
        <f>IF(A1376="","",LOOKUP(A1376,Basiszins!$A$5:$A$18,Basiszins!$B$5:$B$18))</f>
        <v/>
      </c>
      <c r="C1376">
        <f>IF(A1376="","",B1376+Rechner!$E$7)</f>
        <v/>
      </c>
      <c r="D1376">
        <f>J1375</f>
        <v/>
      </c>
      <c r="E1376">
        <f>IF(A1376="",0,D1376*C1376/100/(DATE(YEAR(A1376)+1,1,1)-DATE(YEAR(A1376),1,1)))</f>
        <v/>
      </c>
      <c r="F1376">
        <f>IF(A1376="",0,SUMIF(Rechner!$A$12:$A$21,A1376,Rechner!$B$12:$B$21))</f>
        <v/>
      </c>
      <c r="G1376">
        <f>H1375+E1376</f>
        <v/>
      </c>
      <c r="H1376">
        <f>G1376-MIN(F1376,G1376)</f>
        <v/>
      </c>
      <c r="I1376">
        <f>MIN(F1376-MIN(F1376,G1376),D1376)</f>
        <v/>
      </c>
      <c r="J1376">
        <f>D1376-I1376</f>
        <v/>
      </c>
      <c r="K1376">
        <f>F1376-MIN(F1376,G1376)-I1376</f>
        <v/>
      </c>
    </row>
    <row r="1377">
      <c r="A1377" s="21">
        <f>IF(Rechner!$E$4&lt;&gt;"ok","",IF(Rechner!$E$5+1375&lt;=Rechner!$B$6,Rechner!$E$5+1375,""))</f>
        <v/>
      </c>
      <c r="B1377">
        <f>IF(A1377="","",LOOKUP(A1377,Basiszins!$A$5:$A$18,Basiszins!$B$5:$B$18))</f>
        <v/>
      </c>
      <c r="C1377">
        <f>IF(A1377="","",B1377+Rechner!$E$7)</f>
        <v/>
      </c>
      <c r="D1377">
        <f>J1376</f>
        <v/>
      </c>
      <c r="E1377">
        <f>IF(A1377="",0,D1377*C1377/100/(DATE(YEAR(A1377)+1,1,1)-DATE(YEAR(A1377),1,1)))</f>
        <v/>
      </c>
      <c r="F1377">
        <f>IF(A1377="",0,SUMIF(Rechner!$A$12:$A$21,A1377,Rechner!$B$12:$B$21))</f>
        <v/>
      </c>
      <c r="G1377">
        <f>H1376+E1377</f>
        <v/>
      </c>
      <c r="H1377">
        <f>G1377-MIN(F1377,G1377)</f>
        <v/>
      </c>
      <c r="I1377">
        <f>MIN(F1377-MIN(F1377,G1377),D1377)</f>
        <v/>
      </c>
      <c r="J1377">
        <f>D1377-I1377</f>
        <v/>
      </c>
      <c r="K1377">
        <f>F1377-MIN(F1377,G1377)-I1377</f>
        <v/>
      </c>
    </row>
    <row r="1378">
      <c r="A1378" s="21">
        <f>IF(Rechner!$E$4&lt;&gt;"ok","",IF(Rechner!$E$5+1376&lt;=Rechner!$B$6,Rechner!$E$5+1376,""))</f>
        <v/>
      </c>
      <c r="B1378">
        <f>IF(A1378="","",LOOKUP(A1378,Basiszins!$A$5:$A$18,Basiszins!$B$5:$B$18))</f>
        <v/>
      </c>
      <c r="C1378">
        <f>IF(A1378="","",B1378+Rechner!$E$7)</f>
        <v/>
      </c>
      <c r="D1378">
        <f>J1377</f>
        <v/>
      </c>
      <c r="E1378">
        <f>IF(A1378="",0,D1378*C1378/100/(DATE(YEAR(A1378)+1,1,1)-DATE(YEAR(A1378),1,1)))</f>
        <v/>
      </c>
      <c r="F1378">
        <f>IF(A1378="",0,SUMIF(Rechner!$A$12:$A$21,A1378,Rechner!$B$12:$B$21))</f>
        <v/>
      </c>
      <c r="G1378">
        <f>H1377+E1378</f>
        <v/>
      </c>
      <c r="H1378">
        <f>G1378-MIN(F1378,G1378)</f>
        <v/>
      </c>
      <c r="I1378">
        <f>MIN(F1378-MIN(F1378,G1378),D1378)</f>
        <v/>
      </c>
      <c r="J1378">
        <f>D1378-I1378</f>
        <v/>
      </c>
      <c r="K1378">
        <f>F1378-MIN(F1378,G1378)-I1378</f>
        <v/>
      </c>
    </row>
    <row r="1379">
      <c r="A1379" s="21">
        <f>IF(Rechner!$E$4&lt;&gt;"ok","",IF(Rechner!$E$5+1377&lt;=Rechner!$B$6,Rechner!$E$5+1377,""))</f>
        <v/>
      </c>
      <c r="B1379">
        <f>IF(A1379="","",LOOKUP(A1379,Basiszins!$A$5:$A$18,Basiszins!$B$5:$B$18))</f>
        <v/>
      </c>
      <c r="C1379">
        <f>IF(A1379="","",B1379+Rechner!$E$7)</f>
        <v/>
      </c>
      <c r="D1379">
        <f>J1378</f>
        <v/>
      </c>
      <c r="E1379">
        <f>IF(A1379="",0,D1379*C1379/100/(DATE(YEAR(A1379)+1,1,1)-DATE(YEAR(A1379),1,1)))</f>
        <v/>
      </c>
      <c r="F1379">
        <f>IF(A1379="",0,SUMIF(Rechner!$A$12:$A$21,A1379,Rechner!$B$12:$B$21))</f>
        <v/>
      </c>
      <c r="G1379">
        <f>H1378+E1379</f>
        <v/>
      </c>
      <c r="H1379">
        <f>G1379-MIN(F1379,G1379)</f>
        <v/>
      </c>
      <c r="I1379">
        <f>MIN(F1379-MIN(F1379,G1379),D1379)</f>
        <v/>
      </c>
      <c r="J1379">
        <f>D1379-I1379</f>
        <v/>
      </c>
      <c r="K1379">
        <f>F1379-MIN(F1379,G1379)-I1379</f>
        <v/>
      </c>
    </row>
    <row r="1380">
      <c r="A1380" s="21">
        <f>IF(Rechner!$E$4&lt;&gt;"ok","",IF(Rechner!$E$5+1378&lt;=Rechner!$B$6,Rechner!$E$5+1378,""))</f>
        <v/>
      </c>
      <c r="B1380">
        <f>IF(A1380="","",LOOKUP(A1380,Basiszins!$A$5:$A$18,Basiszins!$B$5:$B$18))</f>
        <v/>
      </c>
      <c r="C1380">
        <f>IF(A1380="","",B1380+Rechner!$E$7)</f>
        <v/>
      </c>
      <c r="D1380">
        <f>J1379</f>
        <v/>
      </c>
      <c r="E1380">
        <f>IF(A1380="",0,D1380*C1380/100/(DATE(YEAR(A1380)+1,1,1)-DATE(YEAR(A1380),1,1)))</f>
        <v/>
      </c>
      <c r="F1380">
        <f>IF(A1380="",0,SUMIF(Rechner!$A$12:$A$21,A1380,Rechner!$B$12:$B$21))</f>
        <v/>
      </c>
      <c r="G1380">
        <f>H1379+E1380</f>
        <v/>
      </c>
      <c r="H1380">
        <f>G1380-MIN(F1380,G1380)</f>
        <v/>
      </c>
      <c r="I1380">
        <f>MIN(F1380-MIN(F1380,G1380),D1380)</f>
        <v/>
      </c>
      <c r="J1380">
        <f>D1380-I1380</f>
        <v/>
      </c>
      <c r="K1380">
        <f>F1380-MIN(F1380,G1380)-I1380</f>
        <v/>
      </c>
    </row>
    <row r="1381">
      <c r="A1381" s="21">
        <f>IF(Rechner!$E$4&lt;&gt;"ok","",IF(Rechner!$E$5+1379&lt;=Rechner!$B$6,Rechner!$E$5+1379,""))</f>
        <v/>
      </c>
      <c r="B1381">
        <f>IF(A1381="","",LOOKUP(A1381,Basiszins!$A$5:$A$18,Basiszins!$B$5:$B$18))</f>
        <v/>
      </c>
      <c r="C1381">
        <f>IF(A1381="","",B1381+Rechner!$E$7)</f>
        <v/>
      </c>
      <c r="D1381">
        <f>J1380</f>
        <v/>
      </c>
      <c r="E1381">
        <f>IF(A1381="",0,D1381*C1381/100/(DATE(YEAR(A1381)+1,1,1)-DATE(YEAR(A1381),1,1)))</f>
        <v/>
      </c>
      <c r="F1381">
        <f>IF(A1381="",0,SUMIF(Rechner!$A$12:$A$21,A1381,Rechner!$B$12:$B$21))</f>
        <v/>
      </c>
      <c r="G1381">
        <f>H1380+E1381</f>
        <v/>
      </c>
      <c r="H1381">
        <f>G1381-MIN(F1381,G1381)</f>
        <v/>
      </c>
      <c r="I1381">
        <f>MIN(F1381-MIN(F1381,G1381),D1381)</f>
        <v/>
      </c>
      <c r="J1381">
        <f>D1381-I1381</f>
        <v/>
      </c>
      <c r="K1381">
        <f>F1381-MIN(F1381,G1381)-I1381</f>
        <v/>
      </c>
    </row>
    <row r="1382">
      <c r="A1382" s="21">
        <f>IF(Rechner!$E$4&lt;&gt;"ok","",IF(Rechner!$E$5+1380&lt;=Rechner!$B$6,Rechner!$E$5+1380,""))</f>
        <v/>
      </c>
      <c r="B1382">
        <f>IF(A1382="","",LOOKUP(A1382,Basiszins!$A$5:$A$18,Basiszins!$B$5:$B$18))</f>
        <v/>
      </c>
      <c r="C1382">
        <f>IF(A1382="","",B1382+Rechner!$E$7)</f>
        <v/>
      </c>
      <c r="D1382">
        <f>J1381</f>
        <v/>
      </c>
      <c r="E1382">
        <f>IF(A1382="",0,D1382*C1382/100/(DATE(YEAR(A1382)+1,1,1)-DATE(YEAR(A1382),1,1)))</f>
        <v/>
      </c>
      <c r="F1382">
        <f>IF(A1382="",0,SUMIF(Rechner!$A$12:$A$21,A1382,Rechner!$B$12:$B$21))</f>
        <v/>
      </c>
      <c r="G1382">
        <f>H1381+E1382</f>
        <v/>
      </c>
      <c r="H1382">
        <f>G1382-MIN(F1382,G1382)</f>
        <v/>
      </c>
      <c r="I1382">
        <f>MIN(F1382-MIN(F1382,G1382),D1382)</f>
        <v/>
      </c>
      <c r="J1382">
        <f>D1382-I1382</f>
        <v/>
      </c>
      <c r="K1382">
        <f>F1382-MIN(F1382,G1382)-I1382</f>
        <v/>
      </c>
    </row>
    <row r="1383">
      <c r="A1383" s="21">
        <f>IF(Rechner!$E$4&lt;&gt;"ok","",IF(Rechner!$E$5+1381&lt;=Rechner!$B$6,Rechner!$E$5+1381,""))</f>
        <v/>
      </c>
      <c r="B1383">
        <f>IF(A1383="","",LOOKUP(A1383,Basiszins!$A$5:$A$18,Basiszins!$B$5:$B$18))</f>
        <v/>
      </c>
      <c r="C1383">
        <f>IF(A1383="","",B1383+Rechner!$E$7)</f>
        <v/>
      </c>
      <c r="D1383">
        <f>J1382</f>
        <v/>
      </c>
      <c r="E1383">
        <f>IF(A1383="",0,D1383*C1383/100/(DATE(YEAR(A1383)+1,1,1)-DATE(YEAR(A1383),1,1)))</f>
        <v/>
      </c>
      <c r="F1383">
        <f>IF(A1383="",0,SUMIF(Rechner!$A$12:$A$21,A1383,Rechner!$B$12:$B$21))</f>
        <v/>
      </c>
      <c r="G1383">
        <f>H1382+E1383</f>
        <v/>
      </c>
      <c r="H1383">
        <f>G1383-MIN(F1383,G1383)</f>
        <v/>
      </c>
      <c r="I1383">
        <f>MIN(F1383-MIN(F1383,G1383),D1383)</f>
        <v/>
      </c>
      <c r="J1383">
        <f>D1383-I1383</f>
        <v/>
      </c>
      <c r="K1383">
        <f>F1383-MIN(F1383,G1383)-I1383</f>
        <v/>
      </c>
    </row>
    <row r="1384">
      <c r="A1384" s="21">
        <f>IF(Rechner!$E$4&lt;&gt;"ok","",IF(Rechner!$E$5+1382&lt;=Rechner!$B$6,Rechner!$E$5+1382,""))</f>
        <v/>
      </c>
      <c r="B1384">
        <f>IF(A1384="","",LOOKUP(A1384,Basiszins!$A$5:$A$18,Basiszins!$B$5:$B$18))</f>
        <v/>
      </c>
      <c r="C1384">
        <f>IF(A1384="","",B1384+Rechner!$E$7)</f>
        <v/>
      </c>
      <c r="D1384">
        <f>J1383</f>
        <v/>
      </c>
      <c r="E1384">
        <f>IF(A1384="",0,D1384*C1384/100/(DATE(YEAR(A1384)+1,1,1)-DATE(YEAR(A1384),1,1)))</f>
        <v/>
      </c>
      <c r="F1384">
        <f>IF(A1384="",0,SUMIF(Rechner!$A$12:$A$21,A1384,Rechner!$B$12:$B$21))</f>
        <v/>
      </c>
      <c r="G1384">
        <f>H1383+E1384</f>
        <v/>
      </c>
      <c r="H1384">
        <f>G1384-MIN(F1384,G1384)</f>
        <v/>
      </c>
      <c r="I1384">
        <f>MIN(F1384-MIN(F1384,G1384),D1384)</f>
        <v/>
      </c>
      <c r="J1384">
        <f>D1384-I1384</f>
        <v/>
      </c>
      <c r="K1384">
        <f>F1384-MIN(F1384,G1384)-I1384</f>
        <v/>
      </c>
    </row>
    <row r="1385">
      <c r="A1385" s="21">
        <f>IF(Rechner!$E$4&lt;&gt;"ok","",IF(Rechner!$E$5+1383&lt;=Rechner!$B$6,Rechner!$E$5+1383,""))</f>
        <v/>
      </c>
      <c r="B1385">
        <f>IF(A1385="","",LOOKUP(A1385,Basiszins!$A$5:$A$18,Basiszins!$B$5:$B$18))</f>
        <v/>
      </c>
      <c r="C1385">
        <f>IF(A1385="","",B1385+Rechner!$E$7)</f>
        <v/>
      </c>
      <c r="D1385">
        <f>J1384</f>
        <v/>
      </c>
      <c r="E1385">
        <f>IF(A1385="",0,D1385*C1385/100/(DATE(YEAR(A1385)+1,1,1)-DATE(YEAR(A1385),1,1)))</f>
        <v/>
      </c>
      <c r="F1385">
        <f>IF(A1385="",0,SUMIF(Rechner!$A$12:$A$21,A1385,Rechner!$B$12:$B$21))</f>
        <v/>
      </c>
      <c r="G1385">
        <f>H1384+E1385</f>
        <v/>
      </c>
      <c r="H1385">
        <f>G1385-MIN(F1385,G1385)</f>
        <v/>
      </c>
      <c r="I1385">
        <f>MIN(F1385-MIN(F1385,G1385),D1385)</f>
        <v/>
      </c>
      <c r="J1385">
        <f>D1385-I1385</f>
        <v/>
      </c>
      <c r="K1385">
        <f>F1385-MIN(F1385,G1385)-I1385</f>
        <v/>
      </c>
    </row>
    <row r="1386">
      <c r="A1386" s="21">
        <f>IF(Rechner!$E$4&lt;&gt;"ok","",IF(Rechner!$E$5+1384&lt;=Rechner!$B$6,Rechner!$E$5+1384,""))</f>
        <v/>
      </c>
      <c r="B1386">
        <f>IF(A1386="","",LOOKUP(A1386,Basiszins!$A$5:$A$18,Basiszins!$B$5:$B$18))</f>
        <v/>
      </c>
      <c r="C1386">
        <f>IF(A1386="","",B1386+Rechner!$E$7)</f>
        <v/>
      </c>
      <c r="D1386">
        <f>J1385</f>
        <v/>
      </c>
      <c r="E1386">
        <f>IF(A1386="",0,D1386*C1386/100/(DATE(YEAR(A1386)+1,1,1)-DATE(YEAR(A1386),1,1)))</f>
        <v/>
      </c>
      <c r="F1386">
        <f>IF(A1386="",0,SUMIF(Rechner!$A$12:$A$21,A1386,Rechner!$B$12:$B$21))</f>
        <v/>
      </c>
      <c r="G1386">
        <f>H1385+E1386</f>
        <v/>
      </c>
      <c r="H1386">
        <f>G1386-MIN(F1386,G1386)</f>
        <v/>
      </c>
      <c r="I1386">
        <f>MIN(F1386-MIN(F1386,G1386),D1386)</f>
        <v/>
      </c>
      <c r="J1386">
        <f>D1386-I1386</f>
        <v/>
      </c>
      <c r="K1386">
        <f>F1386-MIN(F1386,G1386)-I1386</f>
        <v/>
      </c>
    </row>
    <row r="1387">
      <c r="A1387" s="21">
        <f>IF(Rechner!$E$4&lt;&gt;"ok","",IF(Rechner!$E$5+1385&lt;=Rechner!$B$6,Rechner!$E$5+1385,""))</f>
        <v/>
      </c>
      <c r="B1387">
        <f>IF(A1387="","",LOOKUP(A1387,Basiszins!$A$5:$A$18,Basiszins!$B$5:$B$18))</f>
        <v/>
      </c>
      <c r="C1387">
        <f>IF(A1387="","",B1387+Rechner!$E$7)</f>
        <v/>
      </c>
      <c r="D1387">
        <f>J1386</f>
        <v/>
      </c>
      <c r="E1387">
        <f>IF(A1387="",0,D1387*C1387/100/(DATE(YEAR(A1387)+1,1,1)-DATE(YEAR(A1387),1,1)))</f>
        <v/>
      </c>
      <c r="F1387">
        <f>IF(A1387="",0,SUMIF(Rechner!$A$12:$A$21,A1387,Rechner!$B$12:$B$21))</f>
        <v/>
      </c>
      <c r="G1387">
        <f>H1386+E1387</f>
        <v/>
      </c>
      <c r="H1387">
        <f>G1387-MIN(F1387,G1387)</f>
        <v/>
      </c>
      <c r="I1387">
        <f>MIN(F1387-MIN(F1387,G1387),D1387)</f>
        <v/>
      </c>
      <c r="J1387">
        <f>D1387-I1387</f>
        <v/>
      </c>
      <c r="K1387">
        <f>F1387-MIN(F1387,G1387)-I1387</f>
        <v/>
      </c>
    </row>
    <row r="1388">
      <c r="A1388" s="21">
        <f>IF(Rechner!$E$4&lt;&gt;"ok","",IF(Rechner!$E$5+1386&lt;=Rechner!$B$6,Rechner!$E$5+1386,""))</f>
        <v/>
      </c>
      <c r="B1388">
        <f>IF(A1388="","",LOOKUP(A1388,Basiszins!$A$5:$A$18,Basiszins!$B$5:$B$18))</f>
        <v/>
      </c>
      <c r="C1388">
        <f>IF(A1388="","",B1388+Rechner!$E$7)</f>
        <v/>
      </c>
      <c r="D1388">
        <f>J1387</f>
        <v/>
      </c>
      <c r="E1388">
        <f>IF(A1388="",0,D1388*C1388/100/(DATE(YEAR(A1388)+1,1,1)-DATE(YEAR(A1388),1,1)))</f>
        <v/>
      </c>
      <c r="F1388">
        <f>IF(A1388="",0,SUMIF(Rechner!$A$12:$A$21,A1388,Rechner!$B$12:$B$21))</f>
        <v/>
      </c>
      <c r="G1388">
        <f>H1387+E1388</f>
        <v/>
      </c>
      <c r="H1388">
        <f>G1388-MIN(F1388,G1388)</f>
        <v/>
      </c>
      <c r="I1388">
        <f>MIN(F1388-MIN(F1388,G1388),D1388)</f>
        <v/>
      </c>
      <c r="J1388">
        <f>D1388-I1388</f>
        <v/>
      </c>
      <c r="K1388">
        <f>F1388-MIN(F1388,G1388)-I1388</f>
        <v/>
      </c>
    </row>
    <row r="1389">
      <c r="A1389" s="21">
        <f>IF(Rechner!$E$4&lt;&gt;"ok","",IF(Rechner!$E$5+1387&lt;=Rechner!$B$6,Rechner!$E$5+1387,""))</f>
        <v/>
      </c>
      <c r="B1389">
        <f>IF(A1389="","",LOOKUP(A1389,Basiszins!$A$5:$A$18,Basiszins!$B$5:$B$18))</f>
        <v/>
      </c>
      <c r="C1389">
        <f>IF(A1389="","",B1389+Rechner!$E$7)</f>
        <v/>
      </c>
      <c r="D1389">
        <f>J1388</f>
        <v/>
      </c>
      <c r="E1389">
        <f>IF(A1389="",0,D1389*C1389/100/(DATE(YEAR(A1389)+1,1,1)-DATE(YEAR(A1389),1,1)))</f>
        <v/>
      </c>
      <c r="F1389">
        <f>IF(A1389="",0,SUMIF(Rechner!$A$12:$A$21,A1389,Rechner!$B$12:$B$21))</f>
        <v/>
      </c>
      <c r="G1389">
        <f>H1388+E1389</f>
        <v/>
      </c>
      <c r="H1389">
        <f>G1389-MIN(F1389,G1389)</f>
        <v/>
      </c>
      <c r="I1389">
        <f>MIN(F1389-MIN(F1389,G1389),D1389)</f>
        <v/>
      </c>
      <c r="J1389">
        <f>D1389-I1389</f>
        <v/>
      </c>
      <c r="K1389">
        <f>F1389-MIN(F1389,G1389)-I1389</f>
        <v/>
      </c>
    </row>
    <row r="1390">
      <c r="A1390" s="21">
        <f>IF(Rechner!$E$4&lt;&gt;"ok","",IF(Rechner!$E$5+1388&lt;=Rechner!$B$6,Rechner!$E$5+1388,""))</f>
        <v/>
      </c>
      <c r="B1390">
        <f>IF(A1390="","",LOOKUP(A1390,Basiszins!$A$5:$A$18,Basiszins!$B$5:$B$18))</f>
        <v/>
      </c>
      <c r="C1390">
        <f>IF(A1390="","",B1390+Rechner!$E$7)</f>
        <v/>
      </c>
      <c r="D1390">
        <f>J1389</f>
        <v/>
      </c>
      <c r="E1390">
        <f>IF(A1390="",0,D1390*C1390/100/(DATE(YEAR(A1390)+1,1,1)-DATE(YEAR(A1390),1,1)))</f>
        <v/>
      </c>
      <c r="F1390">
        <f>IF(A1390="",0,SUMIF(Rechner!$A$12:$A$21,A1390,Rechner!$B$12:$B$21))</f>
        <v/>
      </c>
      <c r="G1390">
        <f>H1389+E1390</f>
        <v/>
      </c>
      <c r="H1390">
        <f>G1390-MIN(F1390,G1390)</f>
        <v/>
      </c>
      <c r="I1390">
        <f>MIN(F1390-MIN(F1390,G1390),D1390)</f>
        <v/>
      </c>
      <c r="J1390">
        <f>D1390-I1390</f>
        <v/>
      </c>
      <c r="K1390">
        <f>F1390-MIN(F1390,G1390)-I1390</f>
        <v/>
      </c>
    </row>
    <row r="1391">
      <c r="A1391" s="21">
        <f>IF(Rechner!$E$4&lt;&gt;"ok","",IF(Rechner!$E$5+1389&lt;=Rechner!$B$6,Rechner!$E$5+1389,""))</f>
        <v/>
      </c>
      <c r="B1391">
        <f>IF(A1391="","",LOOKUP(A1391,Basiszins!$A$5:$A$18,Basiszins!$B$5:$B$18))</f>
        <v/>
      </c>
      <c r="C1391">
        <f>IF(A1391="","",B1391+Rechner!$E$7)</f>
        <v/>
      </c>
      <c r="D1391">
        <f>J1390</f>
        <v/>
      </c>
      <c r="E1391">
        <f>IF(A1391="",0,D1391*C1391/100/(DATE(YEAR(A1391)+1,1,1)-DATE(YEAR(A1391),1,1)))</f>
        <v/>
      </c>
      <c r="F1391">
        <f>IF(A1391="",0,SUMIF(Rechner!$A$12:$A$21,A1391,Rechner!$B$12:$B$21))</f>
        <v/>
      </c>
      <c r="G1391">
        <f>H1390+E1391</f>
        <v/>
      </c>
      <c r="H1391">
        <f>G1391-MIN(F1391,G1391)</f>
        <v/>
      </c>
      <c r="I1391">
        <f>MIN(F1391-MIN(F1391,G1391),D1391)</f>
        <v/>
      </c>
      <c r="J1391">
        <f>D1391-I1391</f>
        <v/>
      </c>
      <c r="K1391">
        <f>F1391-MIN(F1391,G1391)-I1391</f>
        <v/>
      </c>
    </row>
    <row r="1392">
      <c r="A1392" s="21">
        <f>IF(Rechner!$E$4&lt;&gt;"ok","",IF(Rechner!$E$5+1390&lt;=Rechner!$B$6,Rechner!$E$5+1390,""))</f>
        <v/>
      </c>
      <c r="B1392">
        <f>IF(A1392="","",LOOKUP(A1392,Basiszins!$A$5:$A$18,Basiszins!$B$5:$B$18))</f>
        <v/>
      </c>
      <c r="C1392">
        <f>IF(A1392="","",B1392+Rechner!$E$7)</f>
        <v/>
      </c>
      <c r="D1392">
        <f>J1391</f>
        <v/>
      </c>
      <c r="E1392">
        <f>IF(A1392="",0,D1392*C1392/100/(DATE(YEAR(A1392)+1,1,1)-DATE(YEAR(A1392),1,1)))</f>
        <v/>
      </c>
      <c r="F1392">
        <f>IF(A1392="",0,SUMIF(Rechner!$A$12:$A$21,A1392,Rechner!$B$12:$B$21))</f>
        <v/>
      </c>
      <c r="G1392">
        <f>H1391+E1392</f>
        <v/>
      </c>
      <c r="H1392">
        <f>G1392-MIN(F1392,G1392)</f>
        <v/>
      </c>
      <c r="I1392">
        <f>MIN(F1392-MIN(F1392,G1392),D1392)</f>
        <v/>
      </c>
      <c r="J1392">
        <f>D1392-I1392</f>
        <v/>
      </c>
      <c r="K1392">
        <f>F1392-MIN(F1392,G1392)-I1392</f>
        <v/>
      </c>
    </row>
    <row r="1393">
      <c r="A1393" s="21">
        <f>IF(Rechner!$E$4&lt;&gt;"ok","",IF(Rechner!$E$5+1391&lt;=Rechner!$B$6,Rechner!$E$5+1391,""))</f>
        <v/>
      </c>
      <c r="B1393">
        <f>IF(A1393="","",LOOKUP(A1393,Basiszins!$A$5:$A$18,Basiszins!$B$5:$B$18))</f>
        <v/>
      </c>
      <c r="C1393">
        <f>IF(A1393="","",B1393+Rechner!$E$7)</f>
        <v/>
      </c>
      <c r="D1393">
        <f>J1392</f>
        <v/>
      </c>
      <c r="E1393">
        <f>IF(A1393="",0,D1393*C1393/100/(DATE(YEAR(A1393)+1,1,1)-DATE(YEAR(A1393),1,1)))</f>
        <v/>
      </c>
      <c r="F1393">
        <f>IF(A1393="",0,SUMIF(Rechner!$A$12:$A$21,A1393,Rechner!$B$12:$B$21))</f>
        <v/>
      </c>
      <c r="G1393">
        <f>H1392+E1393</f>
        <v/>
      </c>
      <c r="H1393">
        <f>G1393-MIN(F1393,G1393)</f>
        <v/>
      </c>
      <c r="I1393">
        <f>MIN(F1393-MIN(F1393,G1393),D1393)</f>
        <v/>
      </c>
      <c r="J1393">
        <f>D1393-I1393</f>
        <v/>
      </c>
      <c r="K1393">
        <f>F1393-MIN(F1393,G1393)-I1393</f>
        <v/>
      </c>
    </row>
    <row r="1394">
      <c r="A1394" s="21">
        <f>IF(Rechner!$E$4&lt;&gt;"ok","",IF(Rechner!$E$5+1392&lt;=Rechner!$B$6,Rechner!$E$5+1392,""))</f>
        <v/>
      </c>
      <c r="B1394">
        <f>IF(A1394="","",LOOKUP(A1394,Basiszins!$A$5:$A$18,Basiszins!$B$5:$B$18))</f>
        <v/>
      </c>
      <c r="C1394">
        <f>IF(A1394="","",B1394+Rechner!$E$7)</f>
        <v/>
      </c>
      <c r="D1394">
        <f>J1393</f>
        <v/>
      </c>
      <c r="E1394">
        <f>IF(A1394="",0,D1394*C1394/100/(DATE(YEAR(A1394)+1,1,1)-DATE(YEAR(A1394),1,1)))</f>
        <v/>
      </c>
      <c r="F1394">
        <f>IF(A1394="",0,SUMIF(Rechner!$A$12:$A$21,A1394,Rechner!$B$12:$B$21))</f>
        <v/>
      </c>
      <c r="G1394">
        <f>H1393+E1394</f>
        <v/>
      </c>
      <c r="H1394">
        <f>G1394-MIN(F1394,G1394)</f>
        <v/>
      </c>
      <c r="I1394">
        <f>MIN(F1394-MIN(F1394,G1394),D1394)</f>
        <v/>
      </c>
      <c r="J1394">
        <f>D1394-I1394</f>
        <v/>
      </c>
      <c r="K1394">
        <f>F1394-MIN(F1394,G1394)-I1394</f>
        <v/>
      </c>
    </row>
    <row r="1395">
      <c r="A1395" s="21">
        <f>IF(Rechner!$E$4&lt;&gt;"ok","",IF(Rechner!$E$5+1393&lt;=Rechner!$B$6,Rechner!$E$5+1393,""))</f>
        <v/>
      </c>
      <c r="B1395">
        <f>IF(A1395="","",LOOKUP(A1395,Basiszins!$A$5:$A$18,Basiszins!$B$5:$B$18))</f>
        <v/>
      </c>
      <c r="C1395">
        <f>IF(A1395="","",B1395+Rechner!$E$7)</f>
        <v/>
      </c>
      <c r="D1395">
        <f>J1394</f>
        <v/>
      </c>
      <c r="E1395">
        <f>IF(A1395="",0,D1395*C1395/100/(DATE(YEAR(A1395)+1,1,1)-DATE(YEAR(A1395),1,1)))</f>
        <v/>
      </c>
      <c r="F1395">
        <f>IF(A1395="",0,SUMIF(Rechner!$A$12:$A$21,A1395,Rechner!$B$12:$B$21))</f>
        <v/>
      </c>
      <c r="G1395">
        <f>H1394+E1395</f>
        <v/>
      </c>
      <c r="H1395">
        <f>G1395-MIN(F1395,G1395)</f>
        <v/>
      </c>
      <c r="I1395">
        <f>MIN(F1395-MIN(F1395,G1395),D1395)</f>
        <v/>
      </c>
      <c r="J1395">
        <f>D1395-I1395</f>
        <v/>
      </c>
      <c r="K1395">
        <f>F1395-MIN(F1395,G1395)-I1395</f>
        <v/>
      </c>
    </row>
    <row r="1396">
      <c r="A1396" s="21">
        <f>IF(Rechner!$E$4&lt;&gt;"ok","",IF(Rechner!$E$5+1394&lt;=Rechner!$B$6,Rechner!$E$5+1394,""))</f>
        <v/>
      </c>
      <c r="B1396">
        <f>IF(A1396="","",LOOKUP(A1396,Basiszins!$A$5:$A$18,Basiszins!$B$5:$B$18))</f>
        <v/>
      </c>
      <c r="C1396">
        <f>IF(A1396="","",B1396+Rechner!$E$7)</f>
        <v/>
      </c>
      <c r="D1396">
        <f>J1395</f>
        <v/>
      </c>
      <c r="E1396">
        <f>IF(A1396="",0,D1396*C1396/100/(DATE(YEAR(A1396)+1,1,1)-DATE(YEAR(A1396),1,1)))</f>
        <v/>
      </c>
      <c r="F1396">
        <f>IF(A1396="",0,SUMIF(Rechner!$A$12:$A$21,A1396,Rechner!$B$12:$B$21))</f>
        <v/>
      </c>
      <c r="G1396">
        <f>H1395+E1396</f>
        <v/>
      </c>
      <c r="H1396">
        <f>G1396-MIN(F1396,G1396)</f>
        <v/>
      </c>
      <c r="I1396">
        <f>MIN(F1396-MIN(F1396,G1396),D1396)</f>
        <v/>
      </c>
      <c r="J1396">
        <f>D1396-I1396</f>
        <v/>
      </c>
      <c r="K1396">
        <f>F1396-MIN(F1396,G1396)-I1396</f>
        <v/>
      </c>
    </row>
    <row r="1397">
      <c r="A1397" s="21">
        <f>IF(Rechner!$E$4&lt;&gt;"ok","",IF(Rechner!$E$5+1395&lt;=Rechner!$B$6,Rechner!$E$5+1395,""))</f>
        <v/>
      </c>
      <c r="B1397">
        <f>IF(A1397="","",LOOKUP(A1397,Basiszins!$A$5:$A$18,Basiszins!$B$5:$B$18))</f>
        <v/>
      </c>
      <c r="C1397">
        <f>IF(A1397="","",B1397+Rechner!$E$7)</f>
        <v/>
      </c>
      <c r="D1397">
        <f>J1396</f>
        <v/>
      </c>
      <c r="E1397">
        <f>IF(A1397="",0,D1397*C1397/100/(DATE(YEAR(A1397)+1,1,1)-DATE(YEAR(A1397),1,1)))</f>
        <v/>
      </c>
      <c r="F1397">
        <f>IF(A1397="",0,SUMIF(Rechner!$A$12:$A$21,A1397,Rechner!$B$12:$B$21))</f>
        <v/>
      </c>
      <c r="G1397">
        <f>H1396+E1397</f>
        <v/>
      </c>
      <c r="H1397">
        <f>G1397-MIN(F1397,G1397)</f>
        <v/>
      </c>
      <c r="I1397">
        <f>MIN(F1397-MIN(F1397,G1397),D1397)</f>
        <v/>
      </c>
      <c r="J1397">
        <f>D1397-I1397</f>
        <v/>
      </c>
      <c r="K1397">
        <f>F1397-MIN(F1397,G1397)-I1397</f>
        <v/>
      </c>
    </row>
    <row r="1398">
      <c r="A1398" s="21">
        <f>IF(Rechner!$E$4&lt;&gt;"ok","",IF(Rechner!$E$5+1396&lt;=Rechner!$B$6,Rechner!$E$5+1396,""))</f>
        <v/>
      </c>
      <c r="B1398">
        <f>IF(A1398="","",LOOKUP(A1398,Basiszins!$A$5:$A$18,Basiszins!$B$5:$B$18))</f>
        <v/>
      </c>
      <c r="C1398">
        <f>IF(A1398="","",B1398+Rechner!$E$7)</f>
        <v/>
      </c>
      <c r="D1398">
        <f>J1397</f>
        <v/>
      </c>
      <c r="E1398">
        <f>IF(A1398="",0,D1398*C1398/100/(DATE(YEAR(A1398)+1,1,1)-DATE(YEAR(A1398),1,1)))</f>
        <v/>
      </c>
      <c r="F1398">
        <f>IF(A1398="",0,SUMIF(Rechner!$A$12:$A$21,A1398,Rechner!$B$12:$B$21))</f>
        <v/>
      </c>
      <c r="G1398">
        <f>H1397+E1398</f>
        <v/>
      </c>
      <c r="H1398">
        <f>G1398-MIN(F1398,G1398)</f>
        <v/>
      </c>
      <c r="I1398">
        <f>MIN(F1398-MIN(F1398,G1398),D1398)</f>
        <v/>
      </c>
      <c r="J1398">
        <f>D1398-I1398</f>
        <v/>
      </c>
      <c r="K1398">
        <f>F1398-MIN(F1398,G1398)-I1398</f>
        <v/>
      </c>
    </row>
    <row r="1399">
      <c r="A1399" s="21">
        <f>IF(Rechner!$E$4&lt;&gt;"ok","",IF(Rechner!$E$5+1397&lt;=Rechner!$B$6,Rechner!$E$5+1397,""))</f>
        <v/>
      </c>
      <c r="B1399">
        <f>IF(A1399="","",LOOKUP(A1399,Basiszins!$A$5:$A$18,Basiszins!$B$5:$B$18))</f>
        <v/>
      </c>
      <c r="C1399">
        <f>IF(A1399="","",B1399+Rechner!$E$7)</f>
        <v/>
      </c>
      <c r="D1399">
        <f>J1398</f>
        <v/>
      </c>
      <c r="E1399">
        <f>IF(A1399="",0,D1399*C1399/100/(DATE(YEAR(A1399)+1,1,1)-DATE(YEAR(A1399),1,1)))</f>
        <v/>
      </c>
      <c r="F1399">
        <f>IF(A1399="",0,SUMIF(Rechner!$A$12:$A$21,A1399,Rechner!$B$12:$B$21))</f>
        <v/>
      </c>
      <c r="G1399">
        <f>H1398+E1399</f>
        <v/>
      </c>
      <c r="H1399">
        <f>G1399-MIN(F1399,G1399)</f>
        <v/>
      </c>
      <c r="I1399">
        <f>MIN(F1399-MIN(F1399,G1399),D1399)</f>
        <v/>
      </c>
      <c r="J1399">
        <f>D1399-I1399</f>
        <v/>
      </c>
      <c r="K1399">
        <f>F1399-MIN(F1399,G1399)-I1399</f>
        <v/>
      </c>
    </row>
    <row r="1400">
      <c r="A1400" s="21">
        <f>IF(Rechner!$E$4&lt;&gt;"ok","",IF(Rechner!$E$5+1398&lt;=Rechner!$B$6,Rechner!$E$5+1398,""))</f>
        <v/>
      </c>
      <c r="B1400">
        <f>IF(A1400="","",LOOKUP(A1400,Basiszins!$A$5:$A$18,Basiszins!$B$5:$B$18))</f>
        <v/>
      </c>
      <c r="C1400">
        <f>IF(A1400="","",B1400+Rechner!$E$7)</f>
        <v/>
      </c>
      <c r="D1400">
        <f>J1399</f>
        <v/>
      </c>
      <c r="E1400">
        <f>IF(A1400="",0,D1400*C1400/100/(DATE(YEAR(A1400)+1,1,1)-DATE(YEAR(A1400),1,1)))</f>
        <v/>
      </c>
      <c r="F1400">
        <f>IF(A1400="",0,SUMIF(Rechner!$A$12:$A$21,A1400,Rechner!$B$12:$B$21))</f>
        <v/>
      </c>
      <c r="G1400">
        <f>H1399+E1400</f>
        <v/>
      </c>
      <c r="H1400">
        <f>G1400-MIN(F1400,G1400)</f>
        <v/>
      </c>
      <c r="I1400">
        <f>MIN(F1400-MIN(F1400,G1400),D1400)</f>
        <v/>
      </c>
      <c r="J1400">
        <f>D1400-I1400</f>
        <v/>
      </c>
      <c r="K1400">
        <f>F1400-MIN(F1400,G1400)-I1400</f>
        <v/>
      </c>
    </row>
    <row r="1401">
      <c r="A1401" s="21">
        <f>IF(Rechner!$E$4&lt;&gt;"ok","",IF(Rechner!$E$5+1399&lt;=Rechner!$B$6,Rechner!$E$5+1399,""))</f>
        <v/>
      </c>
      <c r="B1401">
        <f>IF(A1401="","",LOOKUP(A1401,Basiszins!$A$5:$A$18,Basiszins!$B$5:$B$18))</f>
        <v/>
      </c>
      <c r="C1401">
        <f>IF(A1401="","",B1401+Rechner!$E$7)</f>
        <v/>
      </c>
      <c r="D1401">
        <f>J1400</f>
        <v/>
      </c>
      <c r="E1401">
        <f>IF(A1401="",0,D1401*C1401/100/(DATE(YEAR(A1401)+1,1,1)-DATE(YEAR(A1401),1,1)))</f>
        <v/>
      </c>
      <c r="F1401">
        <f>IF(A1401="",0,SUMIF(Rechner!$A$12:$A$21,A1401,Rechner!$B$12:$B$21))</f>
        <v/>
      </c>
      <c r="G1401">
        <f>H1400+E1401</f>
        <v/>
      </c>
      <c r="H1401">
        <f>G1401-MIN(F1401,G1401)</f>
        <v/>
      </c>
      <c r="I1401">
        <f>MIN(F1401-MIN(F1401,G1401),D1401)</f>
        <v/>
      </c>
      <c r="J1401">
        <f>D1401-I1401</f>
        <v/>
      </c>
      <c r="K1401">
        <f>F1401-MIN(F1401,G1401)-I1401</f>
        <v/>
      </c>
    </row>
    <row r="1402">
      <c r="A1402" s="21">
        <f>IF(Rechner!$E$4&lt;&gt;"ok","",IF(Rechner!$E$5+1400&lt;=Rechner!$B$6,Rechner!$E$5+1400,""))</f>
        <v/>
      </c>
      <c r="B1402">
        <f>IF(A1402="","",LOOKUP(A1402,Basiszins!$A$5:$A$18,Basiszins!$B$5:$B$18))</f>
        <v/>
      </c>
      <c r="C1402">
        <f>IF(A1402="","",B1402+Rechner!$E$7)</f>
        <v/>
      </c>
      <c r="D1402">
        <f>J1401</f>
        <v/>
      </c>
      <c r="E1402">
        <f>IF(A1402="",0,D1402*C1402/100/(DATE(YEAR(A1402)+1,1,1)-DATE(YEAR(A1402),1,1)))</f>
        <v/>
      </c>
      <c r="F1402">
        <f>IF(A1402="",0,SUMIF(Rechner!$A$12:$A$21,A1402,Rechner!$B$12:$B$21))</f>
        <v/>
      </c>
      <c r="G1402">
        <f>H1401+E1402</f>
        <v/>
      </c>
      <c r="H1402">
        <f>G1402-MIN(F1402,G1402)</f>
        <v/>
      </c>
      <c r="I1402">
        <f>MIN(F1402-MIN(F1402,G1402),D1402)</f>
        <v/>
      </c>
      <c r="J1402">
        <f>D1402-I1402</f>
        <v/>
      </c>
      <c r="K1402">
        <f>F1402-MIN(F1402,G1402)-I1402</f>
        <v/>
      </c>
    </row>
    <row r="1403">
      <c r="A1403" s="21">
        <f>IF(Rechner!$E$4&lt;&gt;"ok","",IF(Rechner!$E$5+1401&lt;=Rechner!$B$6,Rechner!$E$5+1401,""))</f>
        <v/>
      </c>
      <c r="B1403">
        <f>IF(A1403="","",LOOKUP(A1403,Basiszins!$A$5:$A$18,Basiszins!$B$5:$B$18))</f>
        <v/>
      </c>
      <c r="C1403">
        <f>IF(A1403="","",B1403+Rechner!$E$7)</f>
        <v/>
      </c>
      <c r="D1403">
        <f>J1402</f>
        <v/>
      </c>
      <c r="E1403">
        <f>IF(A1403="",0,D1403*C1403/100/(DATE(YEAR(A1403)+1,1,1)-DATE(YEAR(A1403),1,1)))</f>
        <v/>
      </c>
      <c r="F1403">
        <f>IF(A1403="",0,SUMIF(Rechner!$A$12:$A$21,A1403,Rechner!$B$12:$B$21))</f>
        <v/>
      </c>
      <c r="G1403">
        <f>H1402+E1403</f>
        <v/>
      </c>
      <c r="H1403">
        <f>G1403-MIN(F1403,G1403)</f>
        <v/>
      </c>
      <c r="I1403">
        <f>MIN(F1403-MIN(F1403,G1403),D1403)</f>
        <v/>
      </c>
      <c r="J1403">
        <f>D1403-I1403</f>
        <v/>
      </c>
      <c r="K1403">
        <f>F1403-MIN(F1403,G1403)-I1403</f>
        <v/>
      </c>
    </row>
    <row r="1404">
      <c r="A1404" s="21">
        <f>IF(Rechner!$E$4&lt;&gt;"ok","",IF(Rechner!$E$5+1402&lt;=Rechner!$B$6,Rechner!$E$5+1402,""))</f>
        <v/>
      </c>
      <c r="B1404">
        <f>IF(A1404="","",LOOKUP(A1404,Basiszins!$A$5:$A$18,Basiszins!$B$5:$B$18))</f>
        <v/>
      </c>
      <c r="C1404">
        <f>IF(A1404="","",B1404+Rechner!$E$7)</f>
        <v/>
      </c>
      <c r="D1404">
        <f>J1403</f>
        <v/>
      </c>
      <c r="E1404">
        <f>IF(A1404="",0,D1404*C1404/100/(DATE(YEAR(A1404)+1,1,1)-DATE(YEAR(A1404),1,1)))</f>
        <v/>
      </c>
      <c r="F1404">
        <f>IF(A1404="",0,SUMIF(Rechner!$A$12:$A$21,A1404,Rechner!$B$12:$B$21))</f>
        <v/>
      </c>
      <c r="G1404">
        <f>H1403+E1404</f>
        <v/>
      </c>
      <c r="H1404">
        <f>G1404-MIN(F1404,G1404)</f>
        <v/>
      </c>
      <c r="I1404">
        <f>MIN(F1404-MIN(F1404,G1404),D1404)</f>
        <v/>
      </c>
      <c r="J1404">
        <f>D1404-I1404</f>
        <v/>
      </c>
      <c r="K1404">
        <f>F1404-MIN(F1404,G1404)-I1404</f>
        <v/>
      </c>
    </row>
    <row r="1405">
      <c r="A1405" s="21">
        <f>IF(Rechner!$E$4&lt;&gt;"ok","",IF(Rechner!$E$5+1403&lt;=Rechner!$B$6,Rechner!$E$5+1403,""))</f>
        <v/>
      </c>
      <c r="B1405">
        <f>IF(A1405="","",LOOKUP(A1405,Basiszins!$A$5:$A$18,Basiszins!$B$5:$B$18))</f>
        <v/>
      </c>
      <c r="C1405">
        <f>IF(A1405="","",B1405+Rechner!$E$7)</f>
        <v/>
      </c>
      <c r="D1405">
        <f>J1404</f>
        <v/>
      </c>
      <c r="E1405">
        <f>IF(A1405="",0,D1405*C1405/100/(DATE(YEAR(A1405)+1,1,1)-DATE(YEAR(A1405),1,1)))</f>
        <v/>
      </c>
      <c r="F1405">
        <f>IF(A1405="",0,SUMIF(Rechner!$A$12:$A$21,A1405,Rechner!$B$12:$B$21))</f>
        <v/>
      </c>
      <c r="G1405">
        <f>H1404+E1405</f>
        <v/>
      </c>
      <c r="H1405">
        <f>G1405-MIN(F1405,G1405)</f>
        <v/>
      </c>
      <c r="I1405">
        <f>MIN(F1405-MIN(F1405,G1405),D1405)</f>
        <v/>
      </c>
      <c r="J1405">
        <f>D1405-I1405</f>
        <v/>
      </c>
      <c r="K1405">
        <f>F1405-MIN(F1405,G1405)-I1405</f>
        <v/>
      </c>
    </row>
    <row r="1406">
      <c r="A1406" s="21">
        <f>IF(Rechner!$E$4&lt;&gt;"ok","",IF(Rechner!$E$5+1404&lt;=Rechner!$B$6,Rechner!$E$5+1404,""))</f>
        <v/>
      </c>
      <c r="B1406">
        <f>IF(A1406="","",LOOKUP(A1406,Basiszins!$A$5:$A$18,Basiszins!$B$5:$B$18))</f>
        <v/>
      </c>
      <c r="C1406">
        <f>IF(A1406="","",B1406+Rechner!$E$7)</f>
        <v/>
      </c>
      <c r="D1406">
        <f>J1405</f>
        <v/>
      </c>
      <c r="E1406">
        <f>IF(A1406="",0,D1406*C1406/100/(DATE(YEAR(A1406)+1,1,1)-DATE(YEAR(A1406),1,1)))</f>
        <v/>
      </c>
      <c r="F1406">
        <f>IF(A1406="",0,SUMIF(Rechner!$A$12:$A$21,A1406,Rechner!$B$12:$B$21))</f>
        <v/>
      </c>
      <c r="G1406">
        <f>H1405+E1406</f>
        <v/>
      </c>
      <c r="H1406">
        <f>G1406-MIN(F1406,G1406)</f>
        <v/>
      </c>
      <c r="I1406">
        <f>MIN(F1406-MIN(F1406,G1406),D1406)</f>
        <v/>
      </c>
      <c r="J1406">
        <f>D1406-I1406</f>
        <v/>
      </c>
      <c r="K1406">
        <f>F1406-MIN(F1406,G1406)-I1406</f>
        <v/>
      </c>
    </row>
    <row r="1407">
      <c r="A1407" s="21">
        <f>IF(Rechner!$E$4&lt;&gt;"ok","",IF(Rechner!$E$5+1405&lt;=Rechner!$B$6,Rechner!$E$5+1405,""))</f>
        <v/>
      </c>
      <c r="B1407">
        <f>IF(A1407="","",LOOKUP(A1407,Basiszins!$A$5:$A$18,Basiszins!$B$5:$B$18))</f>
        <v/>
      </c>
      <c r="C1407">
        <f>IF(A1407="","",B1407+Rechner!$E$7)</f>
        <v/>
      </c>
      <c r="D1407">
        <f>J1406</f>
        <v/>
      </c>
      <c r="E1407">
        <f>IF(A1407="",0,D1407*C1407/100/(DATE(YEAR(A1407)+1,1,1)-DATE(YEAR(A1407),1,1)))</f>
        <v/>
      </c>
      <c r="F1407">
        <f>IF(A1407="",0,SUMIF(Rechner!$A$12:$A$21,A1407,Rechner!$B$12:$B$21))</f>
        <v/>
      </c>
      <c r="G1407">
        <f>H1406+E1407</f>
        <v/>
      </c>
      <c r="H1407">
        <f>G1407-MIN(F1407,G1407)</f>
        <v/>
      </c>
      <c r="I1407">
        <f>MIN(F1407-MIN(F1407,G1407),D1407)</f>
        <v/>
      </c>
      <c r="J1407">
        <f>D1407-I1407</f>
        <v/>
      </c>
      <c r="K1407">
        <f>F1407-MIN(F1407,G1407)-I1407</f>
        <v/>
      </c>
    </row>
    <row r="1408">
      <c r="A1408" s="21">
        <f>IF(Rechner!$E$4&lt;&gt;"ok","",IF(Rechner!$E$5+1406&lt;=Rechner!$B$6,Rechner!$E$5+1406,""))</f>
        <v/>
      </c>
      <c r="B1408">
        <f>IF(A1408="","",LOOKUP(A1408,Basiszins!$A$5:$A$18,Basiszins!$B$5:$B$18))</f>
        <v/>
      </c>
      <c r="C1408">
        <f>IF(A1408="","",B1408+Rechner!$E$7)</f>
        <v/>
      </c>
      <c r="D1408">
        <f>J1407</f>
        <v/>
      </c>
      <c r="E1408">
        <f>IF(A1408="",0,D1408*C1408/100/(DATE(YEAR(A1408)+1,1,1)-DATE(YEAR(A1408),1,1)))</f>
        <v/>
      </c>
      <c r="F1408">
        <f>IF(A1408="",0,SUMIF(Rechner!$A$12:$A$21,A1408,Rechner!$B$12:$B$21))</f>
        <v/>
      </c>
      <c r="G1408">
        <f>H1407+E1408</f>
        <v/>
      </c>
      <c r="H1408">
        <f>G1408-MIN(F1408,G1408)</f>
        <v/>
      </c>
      <c r="I1408">
        <f>MIN(F1408-MIN(F1408,G1408),D1408)</f>
        <v/>
      </c>
      <c r="J1408">
        <f>D1408-I1408</f>
        <v/>
      </c>
      <c r="K1408">
        <f>F1408-MIN(F1408,G1408)-I1408</f>
        <v/>
      </c>
    </row>
    <row r="1409">
      <c r="A1409" s="21">
        <f>IF(Rechner!$E$4&lt;&gt;"ok","",IF(Rechner!$E$5+1407&lt;=Rechner!$B$6,Rechner!$E$5+1407,""))</f>
        <v/>
      </c>
      <c r="B1409">
        <f>IF(A1409="","",LOOKUP(A1409,Basiszins!$A$5:$A$18,Basiszins!$B$5:$B$18))</f>
        <v/>
      </c>
      <c r="C1409">
        <f>IF(A1409="","",B1409+Rechner!$E$7)</f>
        <v/>
      </c>
      <c r="D1409">
        <f>J1408</f>
        <v/>
      </c>
      <c r="E1409">
        <f>IF(A1409="",0,D1409*C1409/100/(DATE(YEAR(A1409)+1,1,1)-DATE(YEAR(A1409),1,1)))</f>
        <v/>
      </c>
      <c r="F1409">
        <f>IF(A1409="",0,SUMIF(Rechner!$A$12:$A$21,A1409,Rechner!$B$12:$B$21))</f>
        <v/>
      </c>
      <c r="G1409">
        <f>H1408+E1409</f>
        <v/>
      </c>
      <c r="H1409">
        <f>G1409-MIN(F1409,G1409)</f>
        <v/>
      </c>
      <c r="I1409">
        <f>MIN(F1409-MIN(F1409,G1409),D1409)</f>
        <v/>
      </c>
      <c r="J1409">
        <f>D1409-I1409</f>
        <v/>
      </c>
      <c r="K1409">
        <f>F1409-MIN(F1409,G1409)-I1409</f>
        <v/>
      </c>
    </row>
    <row r="1410">
      <c r="A1410" s="21">
        <f>IF(Rechner!$E$4&lt;&gt;"ok","",IF(Rechner!$E$5+1408&lt;=Rechner!$B$6,Rechner!$E$5+1408,""))</f>
        <v/>
      </c>
      <c r="B1410">
        <f>IF(A1410="","",LOOKUP(A1410,Basiszins!$A$5:$A$18,Basiszins!$B$5:$B$18))</f>
        <v/>
      </c>
      <c r="C1410">
        <f>IF(A1410="","",B1410+Rechner!$E$7)</f>
        <v/>
      </c>
      <c r="D1410">
        <f>J1409</f>
        <v/>
      </c>
      <c r="E1410">
        <f>IF(A1410="",0,D1410*C1410/100/(DATE(YEAR(A1410)+1,1,1)-DATE(YEAR(A1410),1,1)))</f>
        <v/>
      </c>
      <c r="F1410">
        <f>IF(A1410="",0,SUMIF(Rechner!$A$12:$A$21,A1410,Rechner!$B$12:$B$21))</f>
        <v/>
      </c>
      <c r="G1410">
        <f>H1409+E1410</f>
        <v/>
      </c>
      <c r="H1410">
        <f>G1410-MIN(F1410,G1410)</f>
        <v/>
      </c>
      <c r="I1410">
        <f>MIN(F1410-MIN(F1410,G1410),D1410)</f>
        <v/>
      </c>
      <c r="J1410">
        <f>D1410-I1410</f>
        <v/>
      </c>
      <c r="K1410">
        <f>F1410-MIN(F1410,G1410)-I1410</f>
        <v/>
      </c>
    </row>
    <row r="1411">
      <c r="A1411" s="21">
        <f>IF(Rechner!$E$4&lt;&gt;"ok","",IF(Rechner!$E$5+1409&lt;=Rechner!$B$6,Rechner!$E$5+1409,""))</f>
        <v/>
      </c>
      <c r="B1411">
        <f>IF(A1411="","",LOOKUP(A1411,Basiszins!$A$5:$A$18,Basiszins!$B$5:$B$18))</f>
        <v/>
      </c>
      <c r="C1411">
        <f>IF(A1411="","",B1411+Rechner!$E$7)</f>
        <v/>
      </c>
      <c r="D1411">
        <f>J1410</f>
        <v/>
      </c>
      <c r="E1411">
        <f>IF(A1411="",0,D1411*C1411/100/(DATE(YEAR(A1411)+1,1,1)-DATE(YEAR(A1411),1,1)))</f>
        <v/>
      </c>
      <c r="F1411">
        <f>IF(A1411="",0,SUMIF(Rechner!$A$12:$A$21,A1411,Rechner!$B$12:$B$21))</f>
        <v/>
      </c>
      <c r="G1411">
        <f>H1410+E1411</f>
        <v/>
      </c>
      <c r="H1411">
        <f>G1411-MIN(F1411,G1411)</f>
        <v/>
      </c>
      <c r="I1411">
        <f>MIN(F1411-MIN(F1411,G1411),D1411)</f>
        <v/>
      </c>
      <c r="J1411">
        <f>D1411-I1411</f>
        <v/>
      </c>
      <c r="K1411">
        <f>F1411-MIN(F1411,G1411)-I1411</f>
        <v/>
      </c>
    </row>
    <row r="1412">
      <c r="A1412" s="21">
        <f>IF(Rechner!$E$4&lt;&gt;"ok","",IF(Rechner!$E$5+1410&lt;=Rechner!$B$6,Rechner!$E$5+1410,""))</f>
        <v/>
      </c>
      <c r="B1412">
        <f>IF(A1412="","",LOOKUP(A1412,Basiszins!$A$5:$A$18,Basiszins!$B$5:$B$18))</f>
        <v/>
      </c>
      <c r="C1412">
        <f>IF(A1412="","",B1412+Rechner!$E$7)</f>
        <v/>
      </c>
      <c r="D1412">
        <f>J1411</f>
        <v/>
      </c>
      <c r="E1412">
        <f>IF(A1412="",0,D1412*C1412/100/(DATE(YEAR(A1412)+1,1,1)-DATE(YEAR(A1412),1,1)))</f>
        <v/>
      </c>
      <c r="F1412">
        <f>IF(A1412="",0,SUMIF(Rechner!$A$12:$A$21,A1412,Rechner!$B$12:$B$21))</f>
        <v/>
      </c>
      <c r="G1412">
        <f>H1411+E1412</f>
        <v/>
      </c>
      <c r="H1412">
        <f>G1412-MIN(F1412,G1412)</f>
        <v/>
      </c>
      <c r="I1412">
        <f>MIN(F1412-MIN(F1412,G1412),D1412)</f>
        <v/>
      </c>
      <c r="J1412">
        <f>D1412-I1412</f>
        <v/>
      </c>
      <c r="K1412">
        <f>F1412-MIN(F1412,G1412)-I1412</f>
        <v/>
      </c>
    </row>
    <row r="1413">
      <c r="A1413" s="21">
        <f>IF(Rechner!$E$4&lt;&gt;"ok","",IF(Rechner!$E$5+1411&lt;=Rechner!$B$6,Rechner!$E$5+1411,""))</f>
        <v/>
      </c>
      <c r="B1413">
        <f>IF(A1413="","",LOOKUP(A1413,Basiszins!$A$5:$A$18,Basiszins!$B$5:$B$18))</f>
        <v/>
      </c>
      <c r="C1413">
        <f>IF(A1413="","",B1413+Rechner!$E$7)</f>
        <v/>
      </c>
      <c r="D1413">
        <f>J1412</f>
        <v/>
      </c>
      <c r="E1413">
        <f>IF(A1413="",0,D1413*C1413/100/(DATE(YEAR(A1413)+1,1,1)-DATE(YEAR(A1413),1,1)))</f>
        <v/>
      </c>
      <c r="F1413">
        <f>IF(A1413="",0,SUMIF(Rechner!$A$12:$A$21,A1413,Rechner!$B$12:$B$21))</f>
        <v/>
      </c>
      <c r="G1413">
        <f>H1412+E1413</f>
        <v/>
      </c>
      <c r="H1413">
        <f>G1413-MIN(F1413,G1413)</f>
        <v/>
      </c>
      <c r="I1413">
        <f>MIN(F1413-MIN(F1413,G1413),D1413)</f>
        <v/>
      </c>
      <c r="J1413">
        <f>D1413-I1413</f>
        <v/>
      </c>
      <c r="K1413">
        <f>F1413-MIN(F1413,G1413)-I1413</f>
        <v/>
      </c>
    </row>
    <row r="1414">
      <c r="A1414" s="21">
        <f>IF(Rechner!$E$4&lt;&gt;"ok","",IF(Rechner!$E$5+1412&lt;=Rechner!$B$6,Rechner!$E$5+1412,""))</f>
        <v/>
      </c>
      <c r="B1414">
        <f>IF(A1414="","",LOOKUP(A1414,Basiszins!$A$5:$A$18,Basiszins!$B$5:$B$18))</f>
        <v/>
      </c>
      <c r="C1414">
        <f>IF(A1414="","",B1414+Rechner!$E$7)</f>
        <v/>
      </c>
      <c r="D1414">
        <f>J1413</f>
        <v/>
      </c>
      <c r="E1414">
        <f>IF(A1414="",0,D1414*C1414/100/(DATE(YEAR(A1414)+1,1,1)-DATE(YEAR(A1414),1,1)))</f>
        <v/>
      </c>
      <c r="F1414">
        <f>IF(A1414="",0,SUMIF(Rechner!$A$12:$A$21,A1414,Rechner!$B$12:$B$21))</f>
        <v/>
      </c>
      <c r="G1414">
        <f>H1413+E1414</f>
        <v/>
      </c>
      <c r="H1414">
        <f>G1414-MIN(F1414,G1414)</f>
        <v/>
      </c>
      <c r="I1414">
        <f>MIN(F1414-MIN(F1414,G1414),D1414)</f>
        <v/>
      </c>
      <c r="J1414">
        <f>D1414-I1414</f>
        <v/>
      </c>
      <c r="K1414">
        <f>F1414-MIN(F1414,G1414)-I1414</f>
        <v/>
      </c>
    </row>
    <row r="1415">
      <c r="A1415" s="21">
        <f>IF(Rechner!$E$4&lt;&gt;"ok","",IF(Rechner!$E$5+1413&lt;=Rechner!$B$6,Rechner!$E$5+1413,""))</f>
        <v/>
      </c>
      <c r="B1415">
        <f>IF(A1415="","",LOOKUP(A1415,Basiszins!$A$5:$A$18,Basiszins!$B$5:$B$18))</f>
        <v/>
      </c>
      <c r="C1415">
        <f>IF(A1415="","",B1415+Rechner!$E$7)</f>
        <v/>
      </c>
      <c r="D1415">
        <f>J1414</f>
        <v/>
      </c>
      <c r="E1415">
        <f>IF(A1415="",0,D1415*C1415/100/(DATE(YEAR(A1415)+1,1,1)-DATE(YEAR(A1415),1,1)))</f>
        <v/>
      </c>
      <c r="F1415">
        <f>IF(A1415="",0,SUMIF(Rechner!$A$12:$A$21,A1415,Rechner!$B$12:$B$21))</f>
        <v/>
      </c>
      <c r="G1415">
        <f>H1414+E1415</f>
        <v/>
      </c>
      <c r="H1415">
        <f>G1415-MIN(F1415,G1415)</f>
        <v/>
      </c>
      <c r="I1415">
        <f>MIN(F1415-MIN(F1415,G1415),D1415)</f>
        <v/>
      </c>
      <c r="J1415">
        <f>D1415-I1415</f>
        <v/>
      </c>
      <c r="K1415">
        <f>F1415-MIN(F1415,G1415)-I1415</f>
        <v/>
      </c>
    </row>
    <row r="1416">
      <c r="A1416" s="21">
        <f>IF(Rechner!$E$4&lt;&gt;"ok","",IF(Rechner!$E$5+1414&lt;=Rechner!$B$6,Rechner!$E$5+1414,""))</f>
        <v/>
      </c>
      <c r="B1416">
        <f>IF(A1416="","",LOOKUP(A1416,Basiszins!$A$5:$A$18,Basiszins!$B$5:$B$18))</f>
        <v/>
      </c>
      <c r="C1416">
        <f>IF(A1416="","",B1416+Rechner!$E$7)</f>
        <v/>
      </c>
      <c r="D1416">
        <f>J1415</f>
        <v/>
      </c>
      <c r="E1416">
        <f>IF(A1416="",0,D1416*C1416/100/(DATE(YEAR(A1416)+1,1,1)-DATE(YEAR(A1416),1,1)))</f>
        <v/>
      </c>
      <c r="F1416">
        <f>IF(A1416="",0,SUMIF(Rechner!$A$12:$A$21,A1416,Rechner!$B$12:$B$21))</f>
        <v/>
      </c>
      <c r="G1416">
        <f>H1415+E1416</f>
        <v/>
      </c>
      <c r="H1416">
        <f>G1416-MIN(F1416,G1416)</f>
        <v/>
      </c>
      <c r="I1416">
        <f>MIN(F1416-MIN(F1416,G1416),D1416)</f>
        <v/>
      </c>
      <c r="J1416">
        <f>D1416-I1416</f>
        <v/>
      </c>
      <c r="K1416">
        <f>F1416-MIN(F1416,G1416)-I1416</f>
        <v/>
      </c>
    </row>
    <row r="1417">
      <c r="A1417" s="21">
        <f>IF(Rechner!$E$4&lt;&gt;"ok","",IF(Rechner!$E$5+1415&lt;=Rechner!$B$6,Rechner!$E$5+1415,""))</f>
        <v/>
      </c>
      <c r="B1417">
        <f>IF(A1417="","",LOOKUP(A1417,Basiszins!$A$5:$A$18,Basiszins!$B$5:$B$18))</f>
        <v/>
      </c>
      <c r="C1417">
        <f>IF(A1417="","",B1417+Rechner!$E$7)</f>
        <v/>
      </c>
      <c r="D1417">
        <f>J1416</f>
        <v/>
      </c>
      <c r="E1417">
        <f>IF(A1417="",0,D1417*C1417/100/(DATE(YEAR(A1417)+1,1,1)-DATE(YEAR(A1417),1,1)))</f>
        <v/>
      </c>
      <c r="F1417">
        <f>IF(A1417="",0,SUMIF(Rechner!$A$12:$A$21,A1417,Rechner!$B$12:$B$21))</f>
        <v/>
      </c>
      <c r="G1417">
        <f>H1416+E1417</f>
        <v/>
      </c>
      <c r="H1417">
        <f>G1417-MIN(F1417,G1417)</f>
        <v/>
      </c>
      <c r="I1417">
        <f>MIN(F1417-MIN(F1417,G1417),D1417)</f>
        <v/>
      </c>
      <c r="J1417">
        <f>D1417-I1417</f>
        <v/>
      </c>
      <c r="K1417">
        <f>F1417-MIN(F1417,G1417)-I1417</f>
        <v/>
      </c>
    </row>
    <row r="1418">
      <c r="A1418" s="21">
        <f>IF(Rechner!$E$4&lt;&gt;"ok","",IF(Rechner!$E$5+1416&lt;=Rechner!$B$6,Rechner!$E$5+1416,""))</f>
        <v/>
      </c>
      <c r="B1418">
        <f>IF(A1418="","",LOOKUP(A1418,Basiszins!$A$5:$A$18,Basiszins!$B$5:$B$18))</f>
        <v/>
      </c>
      <c r="C1418">
        <f>IF(A1418="","",B1418+Rechner!$E$7)</f>
        <v/>
      </c>
      <c r="D1418">
        <f>J1417</f>
        <v/>
      </c>
      <c r="E1418">
        <f>IF(A1418="",0,D1418*C1418/100/(DATE(YEAR(A1418)+1,1,1)-DATE(YEAR(A1418),1,1)))</f>
        <v/>
      </c>
      <c r="F1418">
        <f>IF(A1418="",0,SUMIF(Rechner!$A$12:$A$21,A1418,Rechner!$B$12:$B$21))</f>
        <v/>
      </c>
      <c r="G1418">
        <f>H1417+E1418</f>
        <v/>
      </c>
      <c r="H1418">
        <f>G1418-MIN(F1418,G1418)</f>
        <v/>
      </c>
      <c r="I1418">
        <f>MIN(F1418-MIN(F1418,G1418),D1418)</f>
        <v/>
      </c>
      <c r="J1418">
        <f>D1418-I1418</f>
        <v/>
      </c>
      <c r="K1418">
        <f>F1418-MIN(F1418,G1418)-I1418</f>
        <v/>
      </c>
    </row>
    <row r="1419">
      <c r="A1419" s="21">
        <f>IF(Rechner!$E$4&lt;&gt;"ok","",IF(Rechner!$E$5+1417&lt;=Rechner!$B$6,Rechner!$E$5+1417,""))</f>
        <v/>
      </c>
      <c r="B1419">
        <f>IF(A1419="","",LOOKUP(A1419,Basiszins!$A$5:$A$18,Basiszins!$B$5:$B$18))</f>
        <v/>
      </c>
      <c r="C1419">
        <f>IF(A1419="","",B1419+Rechner!$E$7)</f>
        <v/>
      </c>
      <c r="D1419">
        <f>J1418</f>
        <v/>
      </c>
      <c r="E1419">
        <f>IF(A1419="",0,D1419*C1419/100/(DATE(YEAR(A1419)+1,1,1)-DATE(YEAR(A1419),1,1)))</f>
        <v/>
      </c>
      <c r="F1419">
        <f>IF(A1419="",0,SUMIF(Rechner!$A$12:$A$21,A1419,Rechner!$B$12:$B$21))</f>
        <v/>
      </c>
      <c r="G1419">
        <f>H1418+E1419</f>
        <v/>
      </c>
      <c r="H1419">
        <f>G1419-MIN(F1419,G1419)</f>
        <v/>
      </c>
      <c r="I1419">
        <f>MIN(F1419-MIN(F1419,G1419),D1419)</f>
        <v/>
      </c>
      <c r="J1419">
        <f>D1419-I1419</f>
        <v/>
      </c>
      <c r="K1419">
        <f>F1419-MIN(F1419,G1419)-I1419</f>
        <v/>
      </c>
    </row>
    <row r="1420">
      <c r="A1420" s="21">
        <f>IF(Rechner!$E$4&lt;&gt;"ok","",IF(Rechner!$E$5+1418&lt;=Rechner!$B$6,Rechner!$E$5+1418,""))</f>
        <v/>
      </c>
      <c r="B1420">
        <f>IF(A1420="","",LOOKUP(A1420,Basiszins!$A$5:$A$18,Basiszins!$B$5:$B$18))</f>
        <v/>
      </c>
      <c r="C1420">
        <f>IF(A1420="","",B1420+Rechner!$E$7)</f>
        <v/>
      </c>
      <c r="D1420">
        <f>J1419</f>
        <v/>
      </c>
      <c r="E1420">
        <f>IF(A1420="",0,D1420*C1420/100/(DATE(YEAR(A1420)+1,1,1)-DATE(YEAR(A1420),1,1)))</f>
        <v/>
      </c>
      <c r="F1420">
        <f>IF(A1420="",0,SUMIF(Rechner!$A$12:$A$21,A1420,Rechner!$B$12:$B$21))</f>
        <v/>
      </c>
      <c r="G1420">
        <f>H1419+E1420</f>
        <v/>
      </c>
      <c r="H1420">
        <f>G1420-MIN(F1420,G1420)</f>
        <v/>
      </c>
      <c r="I1420">
        <f>MIN(F1420-MIN(F1420,G1420),D1420)</f>
        <v/>
      </c>
      <c r="J1420">
        <f>D1420-I1420</f>
        <v/>
      </c>
      <c r="K1420">
        <f>F1420-MIN(F1420,G1420)-I1420</f>
        <v/>
      </c>
    </row>
    <row r="1421">
      <c r="A1421" s="21">
        <f>IF(Rechner!$E$4&lt;&gt;"ok","",IF(Rechner!$E$5+1419&lt;=Rechner!$B$6,Rechner!$E$5+1419,""))</f>
        <v/>
      </c>
      <c r="B1421">
        <f>IF(A1421="","",LOOKUP(A1421,Basiszins!$A$5:$A$18,Basiszins!$B$5:$B$18))</f>
        <v/>
      </c>
      <c r="C1421">
        <f>IF(A1421="","",B1421+Rechner!$E$7)</f>
        <v/>
      </c>
      <c r="D1421">
        <f>J1420</f>
        <v/>
      </c>
      <c r="E1421">
        <f>IF(A1421="",0,D1421*C1421/100/(DATE(YEAR(A1421)+1,1,1)-DATE(YEAR(A1421),1,1)))</f>
        <v/>
      </c>
      <c r="F1421">
        <f>IF(A1421="",0,SUMIF(Rechner!$A$12:$A$21,A1421,Rechner!$B$12:$B$21))</f>
        <v/>
      </c>
      <c r="G1421">
        <f>H1420+E1421</f>
        <v/>
      </c>
      <c r="H1421">
        <f>G1421-MIN(F1421,G1421)</f>
        <v/>
      </c>
      <c r="I1421">
        <f>MIN(F1421-MIN(F1421,G1421),D1421)</f>
        <v/>
      </c>
      <c r="J1421">
        <f>D1421-I1421</f>
        <v/>
      </c>
      <c r="K1421">
        <f>F1421-MIN(F1421,G1421)-I1421</f>
        <v/>
      </c>
    </row>
    <row r="1422">
      <c r="A1422" s="21">
        <f>IF(Rechner!$E$4&lt;&gt;"ok","",IF(Rechner!$E$5+1420&lt;=Rechner!$B$6,Rechner!$E$5+1420,""))</f>
        <v/>
      </c>
      <c r="B1422">
        <f>IF(A1422="","",LOOKUP(A1422,Basiszins!$A$5:$A$18,Basiszins!$B$5:$B$18))</f>
        <v/>
      </c>
      <c r="C1422">
        <f>IF(A1422="","",B1422+Rechner!$E$7)</f>
        <v/>
      </c>
      <c r="D1422">
        <f>J1421</f>
        <v/>
      </c>
      <c r="E1422">
        <f>IF(A1422="",0,D1422*C1422/100/(DATE(YEAR(A1422)+1,1,1)-DATE(YEAR(A1422),1,1)))</f>
        <v/>
      </c>
      <c r="F1422">
        <f>IF(A1422="",0,SUMIF(Rechner!$A$12:$A$21,A1422,Rechner!$B$12:$B$21))</f>
        <v/>
      </c>
      <c r="G1422">
        <f>H1421+E1422</f>
        <v/>
      </c>
      <c r="H1422">
        <f>G1422-MIN(F1422,G1422)</f>
        <v/>
      </c>
      <c r="I1422">
        <f>MIN(F1422-MIN(F1422,G1422),D1422)</f>
        <v/>
      </c>
      <c r="J1422">
        <f>D1422-I1422</f>
        <v/>
      </c>
      <c r="K1422">
        <f>F1422-MIN(F1422,G1422)-I1422</f>
        <v/>
      </c>
    </row>
    <row r="1423">
      <c r="A1423" s="21">
        <f>IF(Rechner!$E$4&lt;&gt;"ok","",IF(Rechner!$E$5+1421&lt;=Rechner!$B$6,Rechner!$E$5+1421,""))</f>
        <v/>
      </c>
      <c r="B1423">
        <f>IF(A1423="","",LOOKUP(A1423,Basiszins!$A$5:$A$18,Basiszins!$B$5:$B$18))</f>
        <v/>
      </c>
      <c r="C1423">
        <f>IF(A1423="","",B1423+Rechner!$E$7)</f>
        <v/>
      </c>
      <c r="D1423">
        <f>J1422</f>
        <v/>
      </c>
      <c r="E1423">
        <f>IF(A1423="",0,D1423*C1423/100/(DATE(YEAR(A1423)+1,1,1)-DATE(YEAR(A1423),1,1)))</f>
        <v/>
      </c>
      <c r="F1423">
        <f>IF(A1423="",0,SUMIF(Rechner!$A$12:$A$21,A1423,Rechner!$B$12:$B$21))</f>
        <v/>
      </c>
      <c r="G1423">
        <f>H1422+E1423</f>
        <v/>
      </c>
      <c r="H1423">
        <f>G1423-MIN(F1423,G1423)</f>
        <v/>
      </c>
      <c r="I1423">
        <f>MIN(F1423-MIN(F1423,G1423),D1423)</f>
        <v/>
      </c>
      <c r="J1423">
        <f>D1423-I1423</f>
        <v/>
      </c>
      <c r="K1423">
        <f>F1423-MIN(F1423,G1423)-I1423</f>
        <v/>
      </c>
    </row>
    <row r="1424">
      <c r="A1424" s="21">
        <f>IF(Rechner!$E$4&lt;&gt;"ok","",IF(Rechner!$E$5+1422&lt;=Rechner!$B$6,Rechner!$E$5+1422,""))</f>
        <v/>
      </c>
      <c r="B1424">
        <f>IF(A1424="","",LOOKUP(A1424,Basiszins!$A$5:$A$18,Basiszins!$B$5:$B$18))</f>
        <v/>
      </c>
      <c r="C1424">
        <f>IF(A1424="","",B1424+Rechner!$E$7)</f>
        <v/>
      </c>
      <c r="D1424">
        <f>J1423</f>
        <v/>
      </c>
      <c r="E1424">
        <f>IF(A1424="",0,D1424*C1424/100/(DATE(YEAR(A1424)+1,1,1)-DATE(YEAR(A1424),1,1)))</f>
        <v/>
      </c>
      <c r="F1424">
        <f>IF(A1424="",0,SUMIF(Rechner!$A$12:$A$21,A1424,Rechner!$B$12:$B$21))</f>
        <v/>
      </c>
      <c r="G1424">
        <f>H1423+E1424</f>
        <v/>
      </c>
      <c r="H1424">
        <f>G1424-MIN(F1424,G1424)</f>
        <v/>
      </c>
      <c r="I1424">
        <f>MIN(F1424-MIN(F1424,G1424),D1424)</f>
        <v/>
      </c>
      <c r="J1424">
        <f>D1424-I1424</f>
        <v/>
      </c>
      <c r="K1424">
        <f>F1424-MIN(F1424,G1424)-I1424</f>
        <v/>
      </c>
    </row>
    <row r="1425">
      <c r="A1425" s="21">
        <f>IF(Rechner!$E$4&lt;&gt;"ok","",IF(Rechner!$E$5+1423&lt;=Rechner!$B$6,Rechner!$E$5+1423,""))</f>
        <v/>
      </c>
      <c r="B1425">
        <f>IF(A1425="","",LOOKUP(A1425,Basiszins!$A$5:$A$18,Basiszins!$B$5:$B$18))</f>
        <v/>
      </c>
      <c r="C1425">
        <f>IF(A1425="","",B1425+Rechner!$E$7)</f>
        <v/>
      </c>
      <c r="D1425">
        <f>J1424</f>
        <v/>
      </c>
      <c r="E1425">
        <f>IF(A1425="",0,D1425*C1425/100/(DATE(YEAR(A1425)+1,1,1)-DATE(YEAR(A1425),1,1)))</f>
        <v/>
      </c>
      <c r="F1425">
        <f>IF(A1425="",0,SUMIF(Rechner!$A$12:$A$21,A1425,Rechner!$B$12:$B$21))</f>
        <v/>
      </c>
      <c r="G1425">
        <f>H1424+E1425</f>
        <v/>
      </c>
      <c r="H1425">
        <f>G1425-MIN(F1425,G1425)</f>
        <v/>
      </c>
      <c r="I1425">
        <f>MIN(F1425-MIN(F1425,G1425),D1425)</f>
        <v/>
      </c>
      <c r="J1425">
        <f>D1425-I1425</f>
        <v/>
      </c>
      <c r="K1425">
        <f>F1425-MIN(F1425,G1425)-I1425</f>
        <v/>
      </c>
    </row>
    <row r="1426">
      <c r="A1426" s="21">
        <f>IF(Rechner!$E$4&lt;&gt;"ok","",IF(Rechner!$E$5+1424&lt;=Rechner!$B$6,Rechner!$E$5+1424,""))</f>
        <v/>
      </c>
      <c r="B1426">
        <f>IF(A1426="","",LOOKUP(A1426,Basiszins!$A$5:$A$18,Basiszins!$B$5:$B$18))</f>
        <v/>
      </c>
      <c r="C1426">
        <f>IF(A1426="","",B1426+Rechner!$E$7)</f>
        <v/>
      </c>
      <c r="D1426">
        <f>J1425</f>
        <v/>
      </c>
      <c r="E1426">
        <f>IF(A1426="",0,D1426*C1426/100/(DATE(YEAR(A1426)+1,1,1)-DATE(YEAR(A1426),1,1)))</f>
        <v/>
      </c>
      <c r="F1426">
        <f>IF(A1426="",0,SUMIF(Rechner!$A$12:$A$21,A1426,Rechner!$B$12:$B$21))</f>
        <v/>
      </c>
      <c r="G1426">
        <f>H1425+E1426</f>
        <v/>
      </c>
      <c r="H1426">
        <f>G1426-MIN(F1426,G1426)</f>
        <v/>
      </c>
      <c r="I1426">
        <f>MIN(F1426-MIN(F1426,G1426),D1426)</f>
        <v/>
      </c>
      <c r="J1426">
        <f>D1426-I1426</f>
        <v/>
      </c>
      <c r="K1426">
        <f>F1426-MIN(F1426,G1426)-I1426</f>
        <v/>
      </c>
    </row>
    <row r="1427">
      <c r="A1427" s="21">
        <f>IF(Rechner!$E$4&lt;&gt;"ok","",IF(Rechner!$E$5+1425&lt;=Rechner!$B$6,Rechner!$E$5+1425,""))</f>
        <v/>
      </c>
      <c r="B1427">
        <f>IF(A1427="","",LOOKUP(A1427,Basiszins!$A$5:$A$18,Basiszins!$B$5:$B$18))</f>
        <v/>
      </c>
      <c r="C1427">
        <f>IF(A1427="","",B1427+Rechner!$E$7)</f>
        <v/>
      </c>
      <c r="D1427">
        <f>J1426</f>
        <v/>
      </c>
      <c r="E1427">
        <f>IF(A1427="",0,D1427*C1427/100/(DATE(YEAR(A1427)+1,1,1)-DATE(YEAR(A1427),1,1)))</f>
        <v/>
      </c>
      <c r="F1427">
        <f>IF(A1427="",0,SUMIF(Rechner!$A$12:$A$21,A1427,Rechner!$B$12:$B$21))</f>
        <v/>
      </c>
      <c r="G1427">
        <f>H1426+E1427</f>
        <v/>
      </c>
      <c r="H1427">
        <f>G1427-MIN(F1427,G1427)</f>
        <v/>
      </c>
      <c r="I1427">
        <f>MIN(F1427-MIN(F1427,G1427),D1427)</f>
        <v/>
      </c>
      <c r="J1427">
        <f>D1427-I1427</f>
        <v/>
      </c>
      <c r="K1427">
        <f>F1427-MIN(F1427,G1427)-I1427</f>
        <v/>
      </c>
    </row>
    <row r="1428">
      <c r="A1428" s="21">
        <f>IF(Rechner!$E$4&lt;&gt;"ok","",IF(Rechner!$E$5+1426&lt;=Rechner!$B$6,Rechner!$E$5+1426,""))</f>
        <v/>
      </c>
      <c r="B1428">
        <f>IF(A1428="","",LOOKUP(A1428,Basiszins!$A$5:$A$18,Basiszins!$B$5:$B$18))</f>
        <v/>
      </c>
      <c r="C1428">
        <f>IF(A1428="","",B1428+Rechner!$E$7)</f>
        <v/>
      </c>
      <c r="D1428">
        <f>J1427</f>
        <v/>
      </c>
      <c r="E1428">
        <f>IF(A1428="",0,D1428*C1428/100/(DATE(YEAR(A1428)+1,1,1)-DATE(YEAR(A1428),1,1)))</f>
        <v/>
      </c>
      <c r="F1428">
        <f>IF(A1428="",0,SUMIF(Rechner!$A$12:$A$21,A1428,Rechner!$B$12:$B$21))</f>
        <v/>
      </c>
      <c r="G1428">
        <f>H1427+E1428</f>
        <v/>
      </c>
      <c r="H1428">
        <f>G1428-MIN(F1428,G1428)</f>
        <v/>
      </c>
      <c r="I1428">
        <f>MIN(F1428-MIN(F1428,G1428),D1428)</f>
        <v/>
      </c>
      <c r="J1428">
        <f>D1428-I1428</f>
        <v/>
      </c>
      <c r="K1428">
        <f>F1428-MIN(F1428,G1428)-I1428</f>
        <v/>
      </c>
    </row>
    <row r="1429">
      <c r="A1429" s="21">
        <f>IF(Rechner!$E$4&lt;&gt;"ok","",IF(Rechner!$E$5+1427&lt;=Rechner!$B$6,Rechner!$E$5+1427,""))</f>
        <v/>
      </c>
      <c r="B1429">
        <f>IF(A1429="","",LOOKUP(A1429,Basiszins!$A$5:$A$18,Basiszins!$B$5:$B$18))</f>
        <v/>
      </c>
      <c r="C1429">
        <f>IF(A1429="","",B1429+Rechner!$E$7)</f>
        <v/>
      </c>
      <c r="D1429">
        <f>J1428</f>
        <v/>
      </c>
      <c r="E1429">
        <f>IF(A1429="",0,D1429*C1429/100/(DATE(YEAR(A1429)+1,1,1)-DATE(YEAR(A1429),1,1)))</f>
        <v/>
      </c>
      <c r="F1429">
        <f>IF(A1429="",0,SUMIF(Rechner!$A$12:$A$21,A1429,Rechner!$B$12:$B$21))</f>
        <v/>
      </c>
      <c r="G1429">
        <f>H1428+E1429</f>
        <v/>
      </c>
      <c r="H1429">
        <f>G1429-MIN(F1429,G1429)</f>
        <v/>
      </c>
      <c r="I1429">
        <f>MIN(F1429-MIN(F1429,G1429),D1429)</f>
        <v/>
      </c>
      <c r="J1429">
        <f>D1429-I1429</f>
        <v/>
      </c>
      <c r="K1429">
        <f>F1429-MIN(F1429,G1429)-I1429</f>
        <v/>
      </c>
    </row>
    <row r="1430">
      <c r="A1430" s="21">
        <f>IF(Rechner!$E$4&lt;&gt;"ok","",IF(Rechner!$E$5+1428&lt;=Rechner!$B$6,Rechner!$E$5+1428,""))</f>
        <v/>
      </c>
      <c r="B1430">
        <f>IF(A1430="","",LOOKUP(A1430,Basiszins!$A$5:$A$18,Basiszins!$B$5:$B$18))</f>
        <v/>
      </c>
      <c r="C1430">
        <f>IF(A1430="","",B1430+Rechner!$E$7)</f>
        <v/>
      </c>
      <c r="D1430">
        <f>J1429</f>
        <v/>
      </c>
      <c r="E1430">
        <f>IF(A1430="",0,D1430*C1430/100/(DATE(YEAR(A1430)+1,1,1)-DATE(YEAR(A1430),1,1)))</f>
        <v/>
      </c>
      <c r="F1430">
        <f>IF(A1430="",0,SUMIF(Rechner!$A$12:$A$21,A1430,Rechner!$B$12:$B$21))</f>
        <v/>
      </c>
      <c r="G1430">
        <f>H1429+E1430</f>
        <v/>
      </c>
      <c r="H1430">
        <f>G1430-MIN(F1430,G1430)</f>
        <v/>
      </c>
      <c r="I1430">
        <f>MIN(F1430-MIN(F1430,G1430),D1430)</f>
        <v/>
      </c>
      <c r="J1430">
        <f>D1430-I1430</f>
        <v/>
      </c>
      <c r="K1430">
        <f>F1430-MIN(F1430,G1430)-I1430</f>
        <v/>
      </c>
    </row>
    <row r="1431">
      <c r="A1431" s="21">
        <f>IF(Rechner!$E$4&lt;&gt;"ok","",IF(Rechner!$E$5+1429&lt;=Rechner!$B$6,Rechner!$E$5+1429,""))</f>
        <v/>
      </c>
      <c r="B1431">
        <f>IF(A1431="","",LOOKUP(A1431,Basiszins!$A$5:$A$18,Basiszins!$B$5:$B$18))</f>
        <v/>
      </c>
      <c r="C1431">
        <f>IF(A1431="","",B1431+Rechner!$E$7)</f>
        <v/>
      </c>
      <c r="D1431">
        <f>J1430</f>
        <v/>
      </c>
      <c r="E1431">
        <f>IF(A1431="",0,D1431*C1431/100/(DATE(YEAR(A1431)+1,1,1)-DATE(YEAR(A1431),1,1)))</f>
        <v/>
      </c>
      <c r="F1431">
        <f>IF(A1431="",0,SUMIF(Rechner!$A$12:$A$21,A1431,Rechner!$B$12:$B$21))</f>
        <v/>
      </c>
      <c r="G1431">
        <f>H1430+E1431</f>
        <v/>
      </c>
      <c r="H1431">
        <f>G1431-MIN(F1431,G1431)</f>
        <v/>
      </c>
      <c r="I1431">
        <f>MIN(F1431-MIN(F1431,G1431),D1431)</f>
        <v/>
      </c>
      <c r="J1431">
        <f>D1431-I1431</f>
        <v/>
      </c>
      <c r="K1431">
        <f>F1431-MIN(F1431,G1431)-I1431</f>
        <v/>
      </c>
    </row>
    <row r="1432">
      <c r="A1432" s="21">
        <f>IF(Rechner!$E$4&lt;&gt;"ok","",IF(Rechner!$E$5+1430&lt;=Rechner!$B$6,Rechner!$E$5+1430,""))</f>
        <v/>
      </c>
      <c r="B1432">
        <f>IF(A1432="","",LOOKUP(A1432,Basiszins!$A$5:$A$18,Basiszins!$B$5:$B$18))</f>
        <v/>
      </c>
      <c r="C1432">
        <f>IF(A1432="","",B1432+Rechner!$E$7)</f>
        <v/>
      </c>
      <c r="D1432">
        <f>J1431</f>
        <v/>
      </c>
      <c r="E1432">
        <f>IF(A1432="",0,D1432*C1432/100/(DATE(YEAR(A1432)+1,1,1)-DATE(YEAR(A1432),1,1)))</f>
        <v/>
      </c>
      <c r="F1432">
        <f>IF(A1432="",0,SUMIF(Rechner!$A$12:$A$21,A1432,Rechner!$B$12:$B$21))</f>
        <v/>
      </c>
      <c r="G1432">
        <f>H1431+E1432</f>
        <v/>
      </c>
      <c r="H1432">
        <f>G1432-MIN(F1432,G1432)</f>
        <v/>
      </c>
      <c r="I1432">
        <f>MIN(F1432-MIN(F1432,G1432),D1432)</f>
        <v/>
      </c>
      <c r="J1432">
        <f>D1432-I1432</f>
        <v/>
      </c>
      <c r="K1432">
        <f>F1432-MIN(F1432,G1432)-I1432</f>
        <v/>
      </c>
    </row>
    <row r="1433">
      <c r="A1433" s="21">
        <f>IF(Rechner!$E$4&lt;&gt;"ok","",IF(Rechner!$E$5+1431&lt;=Rechner!$B$6,Rechner!$E$5+1431,""))</f>
        <v/>
      </c>
      <c r="B1433">
        <f>IF(A1433="","",LOOKUP(A1433,Basiszins!$A$5:$A$18,Basiszins!$B$5:$B$18))</f>
        <v/>
      </c>
      <c r="C1433">
        <f>IF(A1433="","",B1433+Rechner!$E$7)</f>
        <v/>
      </c>
      <c r="D1433">
        <f>J1432</f>
        <v/>
      </c>
      <c r="E1433">
        <f>IF(A1433="",0,D1433*C1433/100/(DATE(YEAR(A1433)+1,1,1)-DATE(YEAR(A1433),1,1)))</f>
        <v/>
      </c>
      <c r="F1433">
        <f>IF(A1433="",0,SUMIF(Rechner!$A$12:$A$21,A1433,Rechner!$B$12:$B$21))</f>
        <v/>
      </c>
      <c r="G1433">
        <f>H1432+E1433</f>
        <v/>
      </c>
      <c r="H1433">
        <f>G1433-MIN(F1433,G1433)</f>
        <v/>
      </c>
      <c r="I1433">
        <f>MIN(F1433-MIN(F1433,G1433),D1433)</f>
        <v/>
      </c>
      <c r="J1433">
        <f>D1433-I1433</f>
        <v/>
      </c>
      <c r="K1433">
        <f>F1433-MIN(F1433,G1433)-I1433</f>
        <v/>
      </c>
    </row>
    <row r="1434">
      <c r="A1434" s="21">
        <f>IF(Rechner!$E$4&lt;&gt;"ok","",IF(Rechner!$E$5+1432&lt;=Rechner!$B$6,Rechner!$E$5+1432,""))</f>
        <v/>
      </c>
      <c r="B1434">
        <f>IF(A1434="","",LOOKUP(A1434,Basiszins!$A$5:$A$18,Basiszins!$B$5:$B$18))</f>
        <v/>
      </c>
      <c r="C1434">
        <f>IF(A1434="","",B1434+Rechner!$E$7)</f>
        <v/>
      </c>
      <c r="D1434">
        <f>J1433</f>
        <v/>
      </c>
      <c r="E1434">
        <f>IF(A1434="",0,D1434*C1434/100/(DATE(YEAR(A1434)+1,1,1)-DATE(YEAR(A1434),1,1)))</f>
        <v/>
      </c>
      <c r="F1434">
        <f>IF(A1434="",0,SUMIF(Rechner!$A$12:$A$21,A1434,Rechner!$B$12:$B$21))</f>
        <v/>
      </c>
      <c r="G1434">
        <f>H1433+E1434</f>
        <v/>
      </c>
      <c r="H1434">
        <f>G1434-MIN(F1434,G1434)</f>
        <v/>
      </c>
      <c r="I1434">
        <f>MIN(F1434-MIN(F1434,G1434),D1434)</f>
        <v/>
      </c>
      <c r="J1434">
        <f>D1434-I1434</f>
        <v/>
      </c>
      <c r="K1434">
        <f>F1434-MIN(F1434,G1434)-I1434</f>
        <v/>
      </c>
    </row>
    <row r="1435">
      <c r="A1435" s="21">
        <f>IF(Rechner!$E$4&lt;&gt;"ok","",IF(Rechner!$E$5+1433&lt;=Rechner!$B$6,Rechner!$E$5+1433,""))</f>
        <v/>
      </c>
      <c r="B1435">
        <f>IF(A1435="","",LOOKUP(A1435,Basiszins!$A$5:$A$18,Basiszins!$B$5:$B$18))</f>
        <v/>
      </c>
      <c r="C1435">
        <f>IF(A1435="","",B1435+Rechner!$E$7)</f>
        <v/>
      </c>
      <c r="D1435">
        <f>J1434</f>
        <v/>
      </c>
      <c r="E1435">
        <f>IF(A1435="",0,D1435*C1435/100/(DATE(YEAR(A1435)+1,1,1)-DATE(YEAR(A1435),1,1)))</f>
        <v/>
      </c>
      <c r="F1435">
        <f>IF(A1435="",0,SUMIF(Rechner!$A$12:$A$21,A1435,Rechner!$B$12:$B$21))</f>
        <v/>
      </c>
      <c r="G1435">
        <f>H1434+E1435</f>
        <v/>
      </c>
      <c r="H1435">
        <f>G1435-MIN(F1435,G1435)</f>
        <v/>
      </c>
      <c r="I1435">
        <f>MIN(F1435-MIN(F1435,G1435),D1435)</f>
        <v/>
      </c>
      <c r="J1435">
        <f>D1435-I1435</f>
        <v/>
      </c>
      <c r="K1435">
        <f>F1435-MIN(F1435,G1435)-I1435</f>
        <v/>
      </c>
    </row>
    <row r="1436">
      <c r="A1436" s="21">
        <f>IF(Rechner!$E$4&lt;&gt;"ok","",IF(Rechner!$E$5+1434&lt;=Rechner!$B$6,Rechner!$E$5+1434,""))</f>
        <v/>
      </c>
      <c r="B1436">
        <f>IF(A1436="","",LOOKUP(A1436,Basiszins!$A$5:$A$18,Basiszins!$B$5:$B$18))</f>
        <v/>
      </c>
      <c r="C1436">
        <f>IF(A1436="","",B1436+Rechner!$E$7)</f>
        <v/>
      </c>
      <c r="D1436">
        <f>J1435</f>
        <v/>
      </c>
      <c r="E1436">
        <f>IF(A1436="",0,D1436*C1436/100/(DATE(YEAR(A1436)+1,1,1)-DATE(YEAR(A1436),1,1)))</f>
        <v/>
      </c>
      <c r="F1436">
        <f>IF(A1436="",0,SUMIF(Rechner!$A$12:$A$21,A1436,Rechner!$B$12:$B$21))</f>
        <v/>
      </c>
      <c r="G1436">
        <f>H1435+E1436</f>
        <v/>
      </c>
      <c r="H1436">
        <f>G1436-MIN(F1436,G1436)</f>
        <v/>
      </c>
      <c r="I1436">
        <f>MIN(F1436-MIN(F1436,G1436),D1436)</f>
        <v/>
      </c>
      <c r="J1436">
        <f>D1436-I1436</f>
        <v/>
      </c>
      <c r="K1436">
        <f>F1436-MIN(F1436,G1436)-I1436</f>
        <v/>
      </c>
    </row>
    <row r="1437">
      <c r="A1437" s="21">
        <f>IF(Rechner!$E$4&lt;&gt;"ok","",IF(Rechner!$E$5+1435&lt;=Rechner!$B$6,Rechner!$E$5+1435,""))</f>
        <v/>
      </c>
      <c r="B1437">
        <f>IF(A1437="","",LOOKUP(A1437,Basiszins!$A$5:$A$18,Basiszins!$B$5:$B$18))</f>
        <v/>
      </c>
      <c r="C1437">
        <f>IF(A1437="","",B1437+Rechner!$E$7)</f>
        <v/>
      </c>
      <c r="D1437">
        <f>J1436</f>
        <v/>
      </c>
      <c r="E1437">
        <f>IF(A1437="",0,D1437*C1437/100/(DATE(YEAR(A1437)+1,1,1)-DATE(YEAR(A1437),1,1)))</f>
        <v/>
      </c>
      <c r="F1437">
        <f>IF(A1437="",0,SUMIF(Rechner!$A$12:$A$21,A1437,Rechner!$B$12:$B$21))</f>
        <v/>
      </c>
      <c r="G1437">
        <f>H1436+E1437</f>
        <v/>
      </c>
      <c r="H1437">
        <f>G1437-MIN(F1437,G1437)</f>
        <v/>
      </c>
      <c r="I1437">
        <f>MIN(F1437-MIN(F1437,G1437),D1437)</f>
        <v/>
      </c>
      <c r="J1437">
        <f>D1437-I1437</f>
        <v/>
      </c>
      <c r="K1437">
        <f>F1437-MIN(F1437,G1437)-I1437</f>
        <v/>
      </c>
    </row>
    <row r="1438">
      <c r="A1438" s="21">
        <f>IF(Rechner!$E$4&lt;&gt;"ok","",IF(Rechner!$E$5+1436&lt;=Rechner!$B$6,Rechner!$E$5+1436,""))</f>
        <v/>
      </c>
      <c r="B1438">
        <f>IF(A1438="","",LOOKUP(A1438,Basiszins!$A$5:$A$18,Basiszins!$B$5:$B$18))</f>
        <v/>
      </c>
      <c r="C1438">
        <f>IF(A1438="","",B1438+Rechner!$E$7)</f>
        <v/>
      </c>
      <c r="D1438">
        <f>J1437</f>
        <v/>
      </c>
      <c r="E1438">
        <f>IF(A1438="",0,D1438*C1438/100/(DATE(YEAR(A1438)+1,1,1)-DATE(YEAR(A1438),1,1)))</f>
        <v/>
      </c>
      <c r="F1438">
        <f>IF(A1438="",0,SUMIF(Rechner!$A$12:$A$21,A1438,Rechner!$B$12:$B$21))</f>
        <v/>
      </c>
      <c r="G1438">
        <f>H1437+E1438</f>
        <v/>
      </c>
      <c r="H1438">
        <f>G1438-MIN(F1438,G1438)</f>
        <v/>
      </c>
      <c r="I1438">
        <f>MIN(F1438-MIN(F1438,G1438),D1438)</f>
        <v/>
      </c>
      <c r="J1438">
        <f>D1438-I1438</f>
        <v/>
      </c>
      <c r="K1438">
        <f>F1438-MIN(F1438,G1438)-I1438</f>
        <v/>
      </c>
    </row>
    <row r="1439">
      <c r="A1439" s="21">
        <f>IF(Rechner!$E$4&lt;&gt;"ok","",IF(Rechner!$E$5+1437&lt;=Rechner!$B$6,Rechner!$E$5+1437,""))</f>
        <v/>
      </c>
      <c r="B1439">
        <f>IF(A1439="","",LOOKUP(A1439,Basiszins!$A$5:$A$18,Basiszins!$B$5:$B$18))</f>
        <v/>
      </c>
      <c r="C1439">
        <f>IF(A1439="","",B1439+Rechner!$E$7)</f>
        <v/>
      </c>
      <c r="D1439">
        <f>J1438</f>
        <v/>
      </c>
      <c r="E1439">
        <f>IF(A1439="",0,D1439*C1439/100/(DATE(YEAR(A1439)+1,1,1)-DATE(YEAR(A1439),1,1)))</f>
        <v/>
      </c>
      <c r="F1439">
        <f>IF(A1439="",0,SUMIF(Rechner!$A$12:$A$21,A1439,Rechner!$B$12:$B$21))</f>
        <v/>
      </c>
      <c r="G1439">
        <f>H1438+E1439</f>
        <v/>
      </c>
      <c r="H1439">
        <f>G1439-MIN(F1439,G1439)</f>
        <v/>
      </c>
      <c r="I1439">
        <f>MIN(F1439-MIN(F1439,G1439),D1439)</f>
        <v/>
      </c>
      <c r="J1439">
        <f>D1439-I1439</f>
        <v/>
      </c>
      <c r="K1439">
        <f>F1439-MIN(F1439,G1439)-I1439</f>
        <v/>
      </c>
    </row>
    <row r="1440">
      <c r="A1440" s="21">
        <f>IF(Rechner!$E$4&lt;&gt;"ok","",IF(Rechner!$E$5+1438&lt;=Rechner!$B$6,Rechner!$E$5+1438,""))</f>
        <v/>
      </c>
      <c r="B1440">
        <f>IF(A1440="","",LOOKUP(A1440,Basiszins!$A$5:$A$18,Basiszins!$B$5:$B$18))</f>
        <v/>
      </c>
      <c r="C1440">
        <f>IF(A1440="","",B1440+Rechner!$E$7)</f>
        <v/>
      </c>
      <c r="D1440">
        <f>J1439</f>
        <v/>
      </c>
      <c r="E1440">
        <f>IF(A1440="",0,D1440*C1440/100/(DATE(YEAR(A1440)+1,1,1)-DATE(YEAR(A1440),1,1)))</f>
        <v/>
      </c>
      <c r="F1440">
        <f>IF(A1440="",0,SUMIF(Rechner!$A$12:$A$21,A1440,Rechner!$B$12:$B$21))</f>
        <v/>
      </c>
      <c r="G1440">
        <f>H1439+E1440</f>
        <v/>
      </c>
      <c r="H1440">
        <f>G1440-MIN(F1440,G1440)</f>
        <v/>
      </c>
      <c r="I1440">
        <f>MIN(F1440-MIN(F1440,G1440),D1440)</f>
        <v/>
      </c>
      <c r="J1440">
        <f>D1440-I1440</f>
        <v/>
      </c>
      <c r="K1440">
        <f>F1440-MIN(F1440,G1440)-I1440</f>
        <v/>
      </c>
    </row>
    <row r="1441">
      <c r="A1441" s="21">
        <f>IF(Rechner!$E$4&lt;&gt;"ok","",IF(Rechner!$E$5+1439&lt;=Rechner!$B$6,Rechner!$E$5+1439,""))</f>
        <v/>
      </c>
      <c r="B1441">
        <f>IF(A1441="","",LOOKUP(A1441,Basiszins!$A$5:$A$18,Basiszins!$B$5:$B$18))</f>
        <v/>
      </c>
      <c r="C1441">
        <f>IF(A1441="","",B1441+Rechner!$E$7)</f>
        <v/>
      </c>
      <c r="D1441">
        <f>J1440</f>
        <v/>
      </c>
      <c r="E1441">
        <f>IF(A1441="",0,D1441*C1441/100/(DATE(YEAR(A1441)+1,1,1)-DATE(YEAR(A1441),1,1)))</f>
        <v/>
      </c>
      <c r="F1441">
        <f>IF(A1441="",0,SUMIF(Rechner!$A$12:$A$21,A1441,Rechner!$B$12:$B$21))</f>
        <v/>
      </c>
      <c r="G1441">
        <f>H1440+E1441</f>
        <v/>
      </c>
      <c r="H1441">
        <f>G1441-MIN(F1441,G1441)</f>
        <v/>
      </c>
      <c r="I1441">
        <f>MIN(F1441-MIN(F1441,G1441),D1441)</f>
        <v/>
      </c>
      <c r="J1441">
        <f>D1441-I1441</f>
        <v/>
      </c>
      <c r="K1441">
        <f>F1441-MIN(F1441,G1441)-I1441</f>
        <v/>
      </c>
    </row>
    <row r="1442">
      <c r="A1442" s="21">
        <f>IF(Rechner!$E$4&lt;&gt;"ok","",IF(Rechner!$E$5+1440&lt;=Rechner!$B$6,Rechner!$E$5+1440,""))</f>
        <v/>
      </c>
      <c r="B1442">
        <f>IF(A1442="","",LOOKUP(A1442,Basiszins!$A$5:$A$18,Basiszins!$B$5:$B$18))</f>
        <v/>
      </c>
      <c r="C1442">
        <f>IF(A1442="","",B1442+Rechner!$E$7)</f>
        <v/>
      </c>
      <c r="D1442">
        <f>J1441</f>
        <v/>
      </c>
      <c r="E1442">
        <f>IF(A1442="",0,D1442*C1442/100/(DATE(YEAR(A1442)+1,1,1)-DATE(YEAR(A1442),1,1)))</f>
        <v/>
      </c>
      <c r="F1442">
        <f>IF(A1442="",0,SUMIF(Rechner!$A$12:$A$21,A1442,Rechner!$B$12:$B$21))</f>
        <v/>
      </c>
      <c r="G1442">
        <f>H1441+E1442</f>
        <v/>
      </c>
      <c r="H1442">
        <f>G1442-MIN(F1442,G1442)</f>
        <v/>
      </c>
      <c r="I1442">
        <f>MIN(F1442-MIN(F1442,G1442),D1442)</f>
        <v/>
      </c>
      <c r="J1442">
        <f>D1442-I1442</f>
        <v/>
      </c>
      <c r="K1442">
        <f>F1442-MIN(F1442,G1442)-I1442</f>
        <v/>
      </c>
    </row>
    <row r="1443">
      <c r="A1443" s="21">
        <f>IF(Rechner!$E$4&lt;&gt;"ok","",IF(Rechner!$E$5+1441&lt;=Rechner!$B$6,Rechner!$E$5+1441,""))</f>
        <v/>
      </c>
      <c r="B1443">
        <f>IF(A1443="","",LOOKUP(A1443,Basiszins!$A$5:$A$18,Basiszins!$B$5:$B$18))</f>
        <v/>
      </c>
      <c r="C1443">
        <f>IF(A1443="","",B1443+Rechner!$E$7)</f>
        <v/>
      </c>
      <c r="D1443">
        <f>J1442</f>
        <v/>
      </c>
      <c r="E1443">
        <f>IF(A1443="",0,D1443*C1443/100/(DATE(YEAR(A1443)+1,1,1)-DATE(YEAR(A1443),1,1)))</f>
        <v/>
      </c>
      <c r="F1443">
        <f>IF(A1443="",0,SUMIF(Rechner!$A$12:$A$21,A1443,Rechner!$B$12:$B$21))</f>
        <v/>
      </c>
      <c r="G1443">
        <f>H1442+E1443</f>
        <v/>
      </c>
      <c r="H1443">
        <f>G1443-MIN(F1443,G1443)</f>
        <v/>
      </c>
      <c r="I1443">
        <f>MIN(F1443-MIN(F1443,G1443),D1443)</f>
        <v/>
      </c>
      <c r="J1443">
        <f>D1443-I1443</f>
        <v/>
      </c>
      <c r="K1443">
        <f>F1443-MIN(F1443,G1443)-I1443</f>
        <v/>
      </c>
    </row>
    <row r="1444">
      <c r="A1444" s="21">
        <f>IF(Rechner!$E$4&lt;&gt;"ok","",IF(Rechner!$E$5+1442&lt;=Rechner!$B$6,Rechner!$E$5+1442,""))</f>
        <v/>
      </c>
      <c r="B1444">
        <f>IF(A1444="","",LOOKUP(A1444,Basiszins!$A$5:$A$18,Basiszins!$B$5:$B$18))</f>
        <v/>
      </c>
      <c r="C1444">
        <f>IF(A1444="","",B1444+Rechner!$E$7)</f>
        <v/>
      </c>
      <c r="D1444">
        <f>J1443</f>
        <v/>
      </c>
      <c r="E1444">
        <f>IF(A1444="",0,D1444*C1444/100/(DATE(YEAR(A1444)+1,1,1)-DATE(YEAR(A1444),1,1)))</f>
        <v/>
      </c>
      <c r="F1444">
        <f>IF(A1444="",0,SUMIF(Rechner!$A$12:$A$21,A1444,Rechner!$B$12:$B$21))</f>
        <v/>
      </c>
      <c r="G1444">
        <f>H1443+E1444</f>
        <v/>
      </c>
      <c r="H1444">
        <f>G1444-MIN(F1444,G1444)</f>
        <v/>
      </c>
      <c r="I1444">
        <f>MIN(F1444-MIN(F1444,G1444),D1444)</f>
        <v/>
      </c>
      <c r="J1444">
        <f>D1444-I1444</f>
        <v/>
      </c>
      <c r="K1444">
        <f>F1444-MIN(F1444,G1444)-I1444</f>
        <v/>
      </c>
    </row>
    <row r="1445">
      <c r="A1445" s="21">
        <f>IF(Rechner!$E$4&lt;&gt;"ok","",IF(Rechner!$E$5+1443&lt;=Rechner!$B$6,Rechner!$E$5+1443,""))</f>
        <v/>
      </c>
      <c r="B1445">
        <f>IF(A1445="","",LOOKUP(A1445,Basiszins!$A$5:$A$18,Basiszins!$B$5:$B$18))</f>
        <v/>
      </c>
      <c r="C1445">
        <f>IF(A1445="","",B1445+Rechner!$E$7)</f>
        <v/>
      </c>
      <c r="D1445">
        <f>J1444</f>
        <v/>
      </c>
      <c r="E1445">
        <f>IF(A1445="",0,D1445*C1445/100/(DATE(YEAR(A1445)+1,1,1)-DATE(YEAR(A1445),1,1)))</f>
        <v/>
      </c>
      <c r="F1445">
        <f>IF(A1445="",0,SUMIF(Rechner!$A$12:$A$21,A1445,Rechner!$B$12:$B$21))</f>
        <v/>
      </c>
      <c r="G1445">
        <f>H1444+E1445</f>
        <v/>
      </c>
      <c r="H1445">
        <f>G1445-MIN(F1445,G1445)</f>
        <v/>
      </c>
      <c r="I1445">
        <f>MIN(F1445-MIN(F1445,G1445),D1445)</f>
        <v/>
      </c>
      <c r="J1445">
        <f>D1445-I1445</f>
        <v/>
      </c>
      <c r="K1445">
        <f>F1445-MIN(F1445,G1445)-I1445</f>
        <v/>
      </c>
    </row>
    <row r="1446">
      <c r="A1446" s="21">
        <f>IF(Rechner!$E$4&lt;&gt;"ok","",IF(Rechner!$E$5+1444&lt;=Rechner!$B$6,Rechner!$E$5+1444,""))</f>
        <v/>
      </c>
      <c r="B1446">
        <f>IF(A1446="","",LOOKUP(A1446,Basiszins!$A$5:$A$18,Basiszins!$B$5:$B$18))</f>
        <v/>
      </c>
      <c r="C1446">
        <f>IF(A1446="","",B1446+Rechner!$E$7)</f>
        <v/>
      </c>
      <c r="D1446">
        <f>J1445</f>
        <v/>
      </c>
      <c r="E1446">
        <f>IF(A1446="",0,D1446*C1446/100/(DATE(YEAR(A1446)+1,1,1)-DATE(YEAR(A1446),1,1)))</f>
        <v/>
      </c>
      <c r="F1446">
        <f>IF(A1446="",0,SUMIF(Rechner!$A$12:$A$21,A1446,Rechner!$B$12:$B$21))</f>
        <v/>
      </c>
      <c r="G1446">
        <f>H1445+E1446</f>
        <v/>
      </c>
      <c r="H1446">
        <f>G1446-MIN(F1446,G1446)</f>
        <v/>
      </c>
      <c r="I1446">
        <f>MIN(F1446-MIN(F1446,G1446),D1446)</f>
        <v/>
      </c>
      <c r="J1446">
        <f>D1446-I1446</f>
        <v/>
      </c>
      <c r="K1446">
        <f>F1446-MIN(F1446,G1446)-I1446</f>
        <v/>
      </c>
    </row>
    <row r="1447">
      <c r="A1447" s="21">
        <f>IF(Rechner!$E$4&lt;&gt;"ok","",IF(Rechner!$E$5+1445&lt;=Rechner!$B$6,Rechner!$E$5+1445,""))</f>
        <v/>
      </c>
      <c r="B1447">
        <f>IF(A1447="","",LOOKUP(A1447,Basiszins!$A$5:$A$18,Basiszins!$B$5:$B$18))</f>
        <v/>
      </c>
      <c r="C1447">
        <f>IF(A1447="","",B1447+Rechner!$E$7)</f>
        <v/>
      </c>
      <c r="D1447">
        <f>J1446</f>
        <v/>
      </c>
      <c r="E1447">
        <f>IF(A1447="",0,D1447*C1447/100/(DATE(YEAR(A1447)+1,1,1)-DATE(YEAR(A1447),1,1)))</f>
        <v/>
      </c>
      <c r="F1447">
        <f>IF(A1447="",0,SUMIF(Rechner!$A$12:$A$21,A1447,Rechner!$B$12:$B$21))</f>
        <v/>
      </c>
      <c r="G1447">
        <f>H1446+E1447</f>
        <v/>
      </c>
      <c r="H1447">
        <f>G1447-MIN(F1447,G1447)</f>
        <v/>
      </c>
      <c r="I1447">
        <f>MIN(F1447-MIN(F1447,G1447),D1447)</f>
        <v/>
      </c>
      <c r="J1447">
        <f>D1447-I1447</f>
        <v/>
      </c>
      <c r="K1447">
        <f>F1447-MIN(F1447,G1447)-I1447</f>
        <v/>
      </c>
    </row>
    <row r="1448">
      <c r="A1448" s="21">
        <f>IF(Rechner!$E$4&lt;&gt;"ok","",IF(Rechner!$E$5+1446&lt;=Rechner!$B$6,Rechner!$E$5+1446,""))</f>
        <v/>
      </c>
      <c r="B1448">
        <f>IF(A1448="","",LOOKUP(A1448,Basiszins!$A$5:$A$18,Basiszins!$B$5:$B$18))</f>
        <v/>
      </c>
      <c r="C1448">
        <f>IF(A1448="","",B1448+Rechner!$E$7)</f>
        <v/>
      </c>
      <c r="D1448">
        <f>J1447</f>
        <v/>
      </c>
      <c r="E1448">
        <f>IF(A1448="",0,D1448*C1448/100/(DATE(YEAR(A1448)+1,1,1)-DATE(YEAR(A1448),1,1)))</f>
        <v/>
      </c>
      <c r="F1448">
        <f>IF(A1448="",0,SUMIF(Rechner!$A$12:$A$21,A1448,Rechner!$B$12:$B$21))</f>
        <v/>
      </c>
      <c r="G1448">
        <f>H1447+E1448</f>
        <v/>
      </c>
      <c r="H1448">
        <f>G1448-MIN(F1448,G1448)</f>
        <v/>
      </c>
      <c r="I1448">
        <f>MIN(F1448-MIN(F1448,G1448),D1448)</f>
        <v/>
      </c>
      <c r="J1448">
        <f>D1448-I1448</f>
        <v/>
      </c>
      <c r="K1448">
        <f>F1448-MIN(F1448,G1448)-I1448</f>
        <v/>
      </c>
    </row>
    <row r="1449">
      <c r="A1449" s="21">
        <f>IF(Rechner!$E$4&lt;&gt;"ok","",IF(Rechner!$E$5+1447&lt;=Rechner!$B$6,Rechner!$E$5+1447,""))</f>
        <v/>
      </c>
      <c r="B1449">
        <f>IF(A1449="","",LOOKUP(A1449,Basiszins!$A$5:$A$18,Basiszins!$B$5:$B$18))</f>
        <v/>
      </c>
      <c r="C1449">
        <f>IF(A1449="","",B1449+Rechner!$E$7)</f>
        <v/>
      </c>
      <c r="D1449">
        <f>J1448</f>
        <v/>
      </c>
      <c r="E1449">
        <f>IF(A1449="",0,D1449*C1449/100/(DATE(YEAR(A1449)+1,1,1)-DATE(YEAR(A1449),1,1)))</f>
        <v/>
      </c>
      <c r="F1449">
        <f>IF(A1449="",0,SUMIF(Rechner!$A$12:$A$21,A1449,Rechner!$B$12:$B$21))</f>
        <v/>
      </c>
      <c r="G1449">
        <f>H1448+E1449</f>
        <v/>
      </c>
      <c r="H1449">
        <f>G1449-MIN(F1449,G1449)</f>
        <v/>
      </c>
      <c r="I1449">
        <f>MIN(F1449-MIN(F1449,G1449),D1449)</f>
        <v/>
      </c>
      <c r="J1449">
        <f>D1449-I1449</f>
        <v/>
      </c>
      <c r="K1449">
        <f>F1449-MIN(F1449,G1449)-I1449</f>
        <v/>
      </c>
    </row>
    <row r="1450">
      <c r="A1450" s="21">
        <f>IF(Rechner!$E$4&lt;&gt;"ok","",IF(Rechner!$E$5+1448&lt;=Rechner!$B$6,Rechner!$E$5+1448,""))</f>
        <v/>
      </c>
      <c r="B1450">
        <f>IF(A1450="","",LOOKUP(A1450,Basiszins!$A$5:$A$18,Basiszins!$B$5:$B$18))</f>
        <v/>
      </c>
      <c r="C1450">
        <f>IF(A1450="","",B1450+Rechner!$E$7)</f>
        <v/>
      </c>
      <c r="D1450">
        <f>J1449</f>
        <v/>
      </c>
      <c r="E1450">
        <f>IF(A1450="",0,D1450*C1450/100/(DATE(YEAR(A1450)+1,1,1)-DATE(YEAR(A1450),1,1)))</f>
        <v/>
      </c>
      <c r="F1450">
        <f>IF(A1450="",0,SUMIF(Rechner!$A$12:$A$21,A1450,Rechner!$B$12:$B$21))</f>
        <v/>
      </c>
      <c r="G1450">
        <f>H1449+E1450</f>
        <v/>
      </c>
      <c r="H1450">
        <f>G1450-MIN(F1450,G1450)</f>
        <v/>
      </c>
      <c r="I1450">
        <f>MIN(F1450-MIN(F1450,G1450),D1450)</f>
        <v/>
      </c>
      <c r="J1450">
        <f>D1450-I1450</f>
        <v/>
      </c>
      <c r="K1450">
        <f>F1450-MIN(F1450,G1450)-I1450</f>
        <v/>
      </c>
    </row>
    <row r="1451">
      <c r="A1451" s="21">
        <f>IF(Rechner!$E$4&lt;&gt;"ok","",IF(Rechner!$E$5+1449&lt;=Rechner!$B$6,Rechner!$E$5+1449,""))</f>
        <v/>
      </c>
      <c r="B1451">
        <f>IF(A1451="","",LOOKUP(A1451,Basiszins!$A$5:$A$18,Basiszins!$B$5:$B$18))</f>
        <v/>
      </c>
      <c r="C1451">
        <f>IF(A1451="","",B1451+Rechner!$E$7)</f>
        <v/>
      </c>
      <c r="D1451">
        <f>J1450</f>
        <v/>
      </c>
      <c r="E1451">
        <f>IF(A1451="",0,D1451*C1451/100/(DATE(YEAR(A1451)+1,1,1)-DATE(YEAR(A1451),1,1)))</f>
        <v/>
      </c>
      <c r="F1451">
        <f>IF(A1451="",0,SUMIF(Rechner!$A$12:$A$21,A1451,Rechner!$B$12:$B$21))</f>
        <v/>
      </c>
      <c r="G1451">
        <f>H1450+E1451</f>
        <v/>
      </c>
      <c r="H1451">
        <f>G1451-MIN(F1451,G1451)</f>
        <v/>
      </c>
      <c r="I1451">
        <f>MIN(F1451-MIN(F1451,G1451),D1451)</f>
        <v/>
      </c>
      <c r="J1451">
        <f>D1451-I1451</f>
        <v/>
      </c>
      <c r="K1451">
        <f>F1451-MIN(F1451,G1451)-I1451</f>
        <v/>
      </c>
    </row>
    <row r="1452">
      <c r="A1452" s="21">
        <f>IF(Rechner!$E$4&lt;&gt;"ok","",IF(Rechner!$E$5+1450&lt;=Rechner!$B$6,Rechner!$E$5+1450,""))</f>
        <v/>
      </c>
      <c r="B1452">
        <f>IF(A1452="","",LOOKUP(A1452,Basiszins!$A$5:$A$18,Basiszins!$B$5:$B$18))</f>
        <v/>
      </c>
      <c r="C1452">
        <f>IF(A1452="","",B1452+Rechner!$E$7)</f>
        <v/>
      </c>
      <c r="D1452">
        <f>J1451</f>
        <v/>
      </c>
      <c r="E1452">
        <f>IF(A1452="",0,D1452*C1452/100/(DATE(YEAR(A1452)+1,1,1)-DATE(YEAR(A1452),1,1)))</f>
        <v/>
      </c>
      <c r="F1452">
        <f>IF(A1452="",0,SUMIF(Rechner!$A$12:$A$21,A1452,Rechner!$B$12:$B$21))</f>
        <v/>
      </c>
      <c r="G1452">
        <f>H1451+E1452</f>
        <v/>
      </c>
      <c r="H1452">
        <f>G1452-MIN(F1452,G1452)</f>
        <v/>
      </c>
      <c r="I1452">
        <f>MIN(F1452-MIN(F1452,G1452),D1452)</f>
        <v/>
      </c>
      <c r="J1452">
        <f>D1452-I1452</f>
        <v/>
      </c>
      <c r="K1452">
        <f>F1452-MIN(F1452,G1452)-I1452</f>
        <v/>
      </c>
    </row>
    <row r="1453">
      <c r="A1453" s="21">
        <f>IF(Rechner!$E$4&lt;&gt;"ok","",IF(Rechner!$E$5+1451&lt;=Rechner!$B$6,Rechner!$E$5+1451,""))</f>
        <v/>
      </c>
      <c r="B1453">
        <f>IF(A1453="","",LOOKUP(A1453,Basiszins!$A$5:$A$18,Basiszins!$B$5:$B$18))</f>
        <v/>
      </c>
      <c r="C1453">
        <f>IF(A1453="","",B1453+Rechner!$E$7)</f>
        <v/>
      </c>
      <c r="D1453">
        <f>J1452</f>
        <v/>
      </c>
      <c r="E1453">
        <f>IF(A1453="",0,D1453*C1453/100/(DATE(YEAR(A1453)+1,1,1)-DATE(YEAR(A1453),1,1)))</f>
        <v/>
      </c>
      <c r="F1453">
        <f>IF(A1453="",0,SUMIF(Rechner!$A$12:$A$21,A1453,Rechner!$B$12:$B$21))</f>
        <v/>
      </c>
      <c r="G1453">
        <f>H1452+E1453</f>
        <v/>
      </c>
      <c r="H1453">
        <f>G1453-MIN(F1453,G1453)</f>
        <v/>
      </c>
      <c r="I1453">
        <f>MIN(F1453-MIN(F1453,G1453),D1453)</f>
        <v/>
      </c>
      <c r="J1453">
        <f>D1453-I1453</f>
        <v/>
      </c>
      <c r="K1453">
        <f>F1453-MIN(F1453,G1453)-I1453</f>
        <v/>
      </c>
    </row>
    <row r="1454">
      <c r="A1454" s="21">
        <f>IF(Rechner!$E$4&lt;&gt;"ok","",IF(Rechner!$E$5+1452&lt;=Rechner!$B$6,Rechner!$E$5+1452,""))</f>
        <v/>
      </c>
      <c r="B1454">
        <f>IF(A1454="","",LOOKUP(A1454,Basiszins!$A$5:$A$18,Basiszins!$B$5:$B$18))</f>
        <v/>
      </c>
      <c r="C1454">
        <f>IF(A1454="","",B1454+Rechner!$E$7)</f>
        <v/>
      </c>
      <c r="D1454">
        <f>J1453</f>
        <v/>
      </c>
      <c r="E1454">
        <f>IF(A1454="",0,D1454*C1454/100/(DATE(YEAR(A1454)+1,1,1)-DATE(YEAR(A1454),1,1)))</f>
        <v/>
      </c>
      <c r="F1454">
        <f>IF(A1454="",0,SUMIF(Rechner!$A$12:$A$21,A1454,Rechner!$B$12:$B$21))</f>
        <v/>
      </c>
      <c r="G1454">
        <f>H1453+E1454</f>
        <v/>
      </c>
      <c r="H1454">
        <f>G1454-MIN(F1454,G1454)</f>
        <v/>
      </c>
      <c r="I1454">
        <f>MIN(F1454-MIN(F1454,G1454),D1454)</f>
        <v/>
      </c>
      <c r="J1454">
        <f>D1454-I1454</f>
        <v/>
      </c>
      <c r="K1454">
        <f>F1454-MIN(F1454,G1454)-I1454</f>
        <v/>
      </c>
    </row>
    <row r="1455">
      <c r="A1455" s="21">
        <f>IF(Rechner!$E$4&lt;&gt;"ok","",IF(Rechner!$E$5+1453&lt;=Rechner!$B$6,Rechner!$E$5+1453,""))</f>
        <v/>
      </c>
      <c r="B1455">
        <f>IF(A1455="","",LOOKUP(A1455,Basiszins!$A$5:$A$18,Basiszins!$B$5:$B$18))</f>
        <v/>
      </c>
      <c r="C1455">
        <f>IF(A1455="","",B1455+Rechner!$E$7)</f>
        <v/>
      </c>
      <c r="D1455">
        <f>J1454</f>
        <v/>
      </c>
      <c r="E1455">
        <f>IF(A1455="",0,D1455*C1455/100/(DATE(YEAR(A1455)+1,1,1)-DATE(YEAR(A1455),1,1)))</f>
        <v/>
      </c>
      <c r="F1455">
        <f>IF(A1455="",0,SUMIF(Rechner!$A$12:$A$21,A1455,Rechner!$B$12:$B$21))</f>
        <v/>
      </c>
      <c r="G1455">
        <f>H1454+E1455</f>
        <v/>
      </c>
      <c r="H1455">
        <f>G1455-MIN(F1455,G1455)</f>
        <v/>
      </c>
      <c r="I1455">
        <f>MIN(F1455-MIN(F1455,G1455),D1455)</f>
        <v/>
      </c>
      <c r="J1455">
        <f>D1455-I1455</f>
        <v/>
      </c>
      <c r="K1455">
        <f>F1455-MIN(F1455,G1455)-I1455</f>
        <v/>
      </c>
    </row>
    <row r="1456">
      <c r="A1456" s="21">
        <f>IF(Rechner!$E$4&lt;&gt;"ok","",IF(Rechner!$E$5+1454&lt;=Rechner!$B$6,Rechner!$E$5+1454,""))</f>
        <v/>
      </c>
      <c r="B1456">
        <f>IF(A1456="","",LOOKUP(A1456,Basiszins!$A$5:$A$18,Basiszins!$B$5:$B$18))</f>
        <v/>
      </c>
      <c r="C1456">
        <f>IF(A1456="","",B1456+Rechner!$E$7)</f>
        <v/>
      </c>
      <c r="D1456">
        <f>J1455</f>
        <v/>
      </c>
      <c r="E1456">
        <f>IF(A1456="",0,D1456*C1456/100/(DATE(YEAR(A1456)+1,1,1)-DATE(YEAR(A1456),1,1)))</f>
        <v/>
      </c>
      <c r="F1456">
        <f>IF(A1456="",0,SUMIF(Rechner!$A$12:$A$21,A1456,Rechner!$B$12:$B$21))</f>
        <v/>
      </c>
      <c r="G1456">
        <f>H1455+E1456</f>
        <v/>
      </c>
      <c r="H1456">
        <f>G1456-MIN(F1456,G1456)</f>
        <v/>
      </c>
      <c r="I1456">
        <f>MIN(F1456-MIN(F1456,G1456),D1456)</f>
        <v/>
      </c>
      <c r="J1456">
        <f>D1456-I1456</f>
        <v/>
      </c>
      <c r="K1456">
        <f>F1456-MIN(F1456,G1456)-I1456</f>
        <v/>
      </c>
    </row>
    <row r="1457">
      <c r="A1457" s="21">
        <f>IF(Rechner!$E$4&lt;&gt;"ok","",IF(Rechner!$E$5+1455&lt;=Rechner!$B$6,Rechner!$E$5+1455,""))</f>
        <v/>
      </c>
      <c r="B1457">
        <f>IF(A1457="","",LOOKUP(A1457,Basiszins!$A$5:$A$18,Basiszins!$B$5:$B$18))</f>
        <v/>
      </c>
      <c r="C1457">
        <f>IF(A1457="","",B1457+Rechner!$E$7)</f>
        <v/>
      </c>
      <c r="D1457">
        <f>J1456</f>
        <v/>
      </c>
      <c r="E1457">
        <f>IF(A1457="",0,D1457*C1457/100/(DATE(YEAR(A1457)+1,1,1)-DATE(YEAR(A1457),1,1)))</f>
        <v/>
      </c>
      <c r="F1457">
        <f>IF(A1457="",0,SUMIF(Rechner!$A$12:$A$21,A1457,Rechner!$B$12:$B$21))</f>
        <v/>
      </c>
      <c r="G1457">
        <f>H1456+E1457</f>
        <v/>
      </c>
      <c r="H1457">
        <f>G1457-MIN(F1457,G1457)</f>
        <v/>
      </c>
      <c r="I1457">
        <f>MIN(F1457-MIN(F1457,G1457),D1457)</f>
        <v/>
      </c>
      <c r="J1457">
        <f>D1457-I1457</f>
        <v/>
      </c>
      <c r="K1457">
        <f>F1457-MIN(F1457,G1457)-I1457</f>
        <v/>
      </c>
    </row>
    <row r="1458">
      <c r="A1458" s="21">
        <f>IF(Rechner!$E$4&lt;&gt;"ok","",IF(Rechner!$E$5+1456&lt;=Rechner!$B$6,Rechner!$E$5+1456,""))</f>
        <v/>
      </c>
      <c r="B1458">
        <f>IF(A1458="","",LOOKUP(A1458,Basiszins!$A$5:$A$18,Basiszins!$B$5:$B$18))</f>
        <v/>
      </c>
      <c r="C1458">
        <f>IF(A1458="","",B1458+Rechner!$E$7)</f>
        <v/>
      </c>
      <c r="D1458">
        <f>J1457</f>
        <v/>
      </c>
      <c r="E1458">
        <f>IF(A1458="",0,D1458*C1458/100/(DATE(YEAR(A1458)+1,1,1)-DATE(YEAR(A1458),1,1)))</f>
        <v/>
      </c>
      <c r="F1458">
        <f>IF(A1458="",0,SUMIF(Rechner!$A$12:$A$21,A1458,Rechner!$B$12:$B$21))</f>
        <v/>
      </c>
      <c r="G1458">
        <f>H1457+E1458</f>
        <v/>
      </c>
      <c r="H1458">
        <f>G1458-MIN(F1458,G1458)</f>
        <v/>
      </c>
      <c r="I1458">
        <f>MIN(F1458-MIN(F1458,G1458),D1458)</f>
        <v/>
      </c>
      <c r="J1458">
        <f>D1458-I1458</f>
        <v/>
      </c>
      <c r="K1458">
        <f>F1458-MIN(F1458,G1458)-I1458</f>
        <v/>
      </c>
    </row>
    <row r="1459">
      <c r="A1459" s="21">
        <f>IF(Rechner!$E$4&lt;&gt;"ok","",IF(Rechner!$E$5+1457&lt;=Rechner!$B$6,Rechner!$E$5+1457,""))</f>
        <v/>
      </c>
      <c r="B1459">
        <f>IF(A1459="","",LOOKUP(A1459,Basiszins!$A$5:$A$18,Basiszins!$B$5:$B$18))</f>
        <v/>
      </c>
      <c r="C1459">
        <f>IF(A1459="","",B1459+Rechner!$E$7)</f>
        <v/>
      </c>
      <c r="D1459">
        <f>J1458</f>
        <v/>
      </c>
      <c r="E1459">
        <f>IF(A1459="",0,D1459*C1459/100/(DATE(YEAR(A1459)+1,1,1)-DATE(YEAR(A1459),1,1)))</f>
        <v/>
      </c>
      <c r="F1459">
        <f>IF(A1459="",0,SUMIF(Rechner!$A$12:$A$21,A1459,Rechner!$B$12:$B$21))</f>
        <v/>
      </c>
      <c r="G1459">
        <f>H1458+E1459</f>
        <v/>
      </c>
      <c r="H1459">
        <f>G1459-MIN(F1459,G1459)</f>
        <v/>
      </c>
      <c r="I1459">
        <f>MIN(F1459-MIN(F1459,G1459),D1459)</f>
        <v/>
      </c>
      <c r="J1459">
        <f>D1459-I1459</f>
        <v/>
      </c>
      <c r="K1459">
        <f>F1459-MIN(F1459,G1459)-I1459</f>
        <v/>
      </c>
    </row>
    <row r="1460">
      <c r="A1460" s="21">
        <f>IF(Rechner!$E$4&lt;&gt;"ok","",IF(Rechner!$E$5+1458&lt;=Rechner!$B$6,Rechner!$E$5+1458,""))</f>
        <v/>
      </c>
      <c r="B1460">
        <f>IF(A1460="","",LOOKUP(A1460,Basiszins!$A$5:$A$18,Basiszins!$B$5:$B$18))</f>
        <v/>
      </c>
      <c r="C1460">
        <f>IF(A1460="","",B1460+Rechner!$E$7)</f>
        <v/>
      </c>
      <c r="D1460">
        <f>J1459</f>
        <v/>
      </c>
      <c r="E1460">
        <f>IF(A1460="",0,D1460*C1460/100/(DATE(YEAR(A1460)+1,1,1)-DATE(YEAR(A1460),1,1)))</f>
        <v/>
      </c>
      <c r="F1460">
        <f>IF(A1460="",0,SUMIF(Rechner!$A$12:$A$21,A1460,Rechner!$B$12:$B$21))</f>
        <v/>
      </c>
      <c r="G1460">
        <f>H1459+E1460</f>
        <v/>
      </c>
      <c r="H1460">
        <f>G1460-MIN(F1460,G1460)</f>
        <v/>
      </c>
      <c r="I1460">
        <f>MIN(F1460-MIN(F1460,G1460),D1460)</f>
        <v/>
      </c>
      <c r="J1460">
        <f>D1460-I1460</f>
        <v/>
      </c>
      <c r="K1460">
        <f>F1460-MIN(F1460,G1460)-I1460</f>
        <v/>
      </c>
    </row>
    <row r="1461">
      <c r="A1461" s="21">
        <f>IF(Rechner!$E$4&lt;&gt;"ok","",IF(Rechner!$E$5+1459&lt;=Rechner!$B$6,Rechner!$E$5+1459,""))</f>
        <v/>
      </c>
      <c r="B1461">
        <f>IF(A1461="","",LOOKUP(A1461,Basiszins!$A$5:$A$18,Basiszins!$B$5:$B$18))</f>
        <v/>
      </c>
      <c r="C1461">
        <f>IF(A1461="","",B1461+Rechner!$E$7)</f>
        <v/>
      </c>
      <c r="D1461">
        <f>J1460</f>
        <v/>
      </c>
      <c r="E1461">
        <f>IF(A1461="",0,D1461*C1461/100/(DATE(YEAR(A1461)+1,1,1)-DATE(YEAR(A1461),1,1)))</f>
        <v/>
      </c>
      <c r="F1461">
        <f>IF(A1461="",0,SUMIF(Rechner!$A$12:$A$21,A1461,Rechner!$B$12:$B$21))</f>
        <v/>
      </c>
      <c r="G1461">
        <f>H1460+E1461</f>
        <v/>
      </c>
      <c r="H1461">
        <f>G1461-MIN(F1461,G1461)</f>
        <v/>
      </c>
      <c r="I1461">
        <f>MIN(F1461-MIN(F1461,G1461),D1461)</f>
        <v/>
      </c>
      <c r="J1461">
        <f>D1461-I1461</f>
        <v/>
      </c>
      <c r="K1461">
        <f>F1461-MIN(F1461,G1461)-I1461</f>
        <v/>
      </c>
    </row>
    <row r="1462">
      <c r="A1462" s="21">
        <f>IF(Rechner!$E$4&lt;&gt;"ok","",IF(Rechner!$E$5+1460&lt;=Rechner!$B$6,Rechner!$E$5+1460,""))</f>
        <v/>
      </c>
      <c r="B1462">
        <f>IF(A1462="","",LOOKUP(A1462,Basiszins!$A$5:$A$18,Basiszins!$B$5:$B$18))</f>
        <v/>
      </c>
      <c r="C1462">
        <f>IF(A1462="","",B1462+Rechner!$E$7)</f>
        <v/>
      </c>
      <c r="D1462">
        <f>J1461</f>
        <v/>
      </c>
      <c r="E1462">
        <f>IF(A1462="",0,D1462*C1462/100/(DATE(YEAR(A1462)+1,1,1)-DATE(YEAR(A1462),1,1)))</f>
        <v/>
      </c>
      <c r="F1462">
        <f>IF(A1462="",0,SUMIF(Rechner!$A$12:$A$21,A1462,Rechner!$B$12:$B$21))</f>
        <v/>
      </c>
      <c r="G1462">
        <f>H1461+E1462</f>
        <v/>
      </c>
      <c r="H1462">
        <f>G1462-MIN(F1462,G1462)</f>
        <v/>
      </c>
      <c r="I1462">
        <f>MIN(F1462-MIN(F1462,G1462),D1462)</f>
        <v/>
      </c>
      <c r="J1462">
        <f>D1462-I1462</f>
        <v/>
      </c>
      <c r="K1462">
        <f>F1462-MIN(F1462,G1462)-I1462</f>
        <v/>
      </c>
    </row>
    <row r="1463">
      <c r="A1463" s="21">
        <f>IF(Rechner!$E$4&lt;&gt;"ok","",IF(Rechner!$E$5+1461&lt;=Rechner!$B$6,Rechner!$E$5+1461,""))</f>
        <v/>
      </c>
      <c r="B1463">
        <f>IF(A1463="","",LOOKUP(A1463,Basiszins!$A$5:$A$18,Basiszins!$B$5:$B$18))</f>
        <v/>
      </c>
      <c r="C1463">
        <f>IF(A1463="","",B1463+Rechner!$E$7)</f>
        <v/>
      </c>
      <c r="D1463">
        <f>J1462</f>
        <v/>
      </c>
      <c r="E1463">
        <f>IF(A1463="",0,D1463*C1463/100/(DATE(YEAR(A1463)+1,1,1)-DATE(YEAR(A1463),1,1)))</f>
        <v/>
      </c>
      <c r="F1463">
        <f>IF(A1463="",0,SUMIF(Rechner!$A$12:$A$21,A1463,Rechner!$B$12:$B$21))</f>
        <v/>
      </c>
      <c r="G1463">
        <f>H1462+E1463</f>
        <v/>
      </c>
      <c r="H1463">
        <f>G1463-MIN(F1463,G1463)</f>
        <v/>
      </c>
      <c r="I1463">
        <f>MIN(F1463-MIN(F1463,G1463),D1463)</f>
        <v/>
      </c>
      <c r="J1463">
        <f>D1463-I1463</f>
        <v/>
      </c>
      <c r="K1463">
        <f>F1463-MIN(F1463,G1463)-I1463</f>
        <v/>
      </c>
    </row>
    <row r="1464">
      <c r="A1464" s="21">
        <f>IF(Rechner!$E$4&lt;&gt;"ok","",IF(Rechner!$E$5+1462&lt;=Rechner!$B$6,Rechner!$E$5+1462,""))</f>
        <v/>
      </c>
      <c r="B1464">
        <f>IF(A1464="","",LOOKUP(A1464,Basiszins!$A$5:$A$18,Basiszins!$B$5:$B$18))</f>
        <v/>
      </c>
      <c r="C1464">
        <f>IF(A1464="","",B1464+Rechner!$E$7)</f>
        <v/>
      </c>
      <c r="D1464">
        <f>J1463</f>
        <v/>
      </c>
      <c r="E1464">
        <f>IF(A1464="",0,D1464*C1464/100/(DATE(YEAR(A1464)+1,1,1)-DATE(YEAR(A1464),1,1)))</f>
        <v/>
      </c>
      <c r="F1464">
        <f>IF(A1464="",0,SUMIF(Rechner!$A$12:$A$21,A1464,Rechner!$B$12:$B$21))</f>
        <v/>
      </c>
      <c r="G1464">
        <f>H1463+E1464</f>
        <v/>
      </c>
      <c r="H1464">
        <f>G1464-MIN(F1464,G1464)</f>
        <v/>
      </c>
      <c r="I1464">
        <f>MIN(F1464-MIN(F1464,G1464),D1464)</f>
        <v/>
      </c>
      <c r="J1464">
        <f>D1464-I1464</f>
        <v/>
      </c>
      <c r="K1464">
        <f>F1464-MIN(F1464,G1464)-I1464</f>
        <v/>
      </c>
    </row>
    <row r="1465">
      <c r="A1465" s="21">
        <f>IF(Rechner!$E$4&lt;&gt;"ok","",IF(Rechner!$E$5+1463&lt;=Rechner!$B$6,Rechner!$E$5+1463,""))</f>
        <v/>
      </c>
      <c r="B1465">
        <f>IF(A1465="","",LOOKUP(A1465,Basiszins!$A$5:$A$18,Basiszins!$B$5:$B$18))</f>
        <v/>
      </c>
      <c r="C1465">
        <f>IF(A1465="","",B1465+Rechner!$E$7)</f>
        <v/>
      </c>
      <c r="D1465">
        <f>J1464</f>
        <v/>
      </c>
      <c r="E1465">
        <f>IF(A1465="",0,D1465*C1465/100/(DATE(YEAR(A1465)+1,1,1)-DATE(YEAR(A1465),1,1)))</f>
        <v/>
      </c>
      <c r="F1465">
        <f>IF(A1465="",0,SUMIF(Rechner!$A$12:$A$21,A1465,Rechner!$B$12:$B$21))</f>
        <v/>
      </c>
      <c r="G1465">
        <f>H1464+E1465</f>
        <v/>
      </c>
      <c r="H1465">
        <f>G1465-MIN(F1465,G1465)</f>
        <v/>
      </c>
      <c r="I1465">
        <f>MIN(F1465-MIN(F1465,G1465),D1465)</f>
        <v/>
      </c>
      <c r="J1465">
        <f>D1465-I1465</f>
        <v/>
      </c>
      <c r="K1465">
        <f>F1465-MIN(F1465,G1465)-I1465</f>
        <v/>
      </c>
    </row>
    <row r="1466">
      <c r="A1466" s="21">
        <f>IF(Rechner!$E$4&lt;&gt;"ok","",IF(Rechner!$E$5+1464&lt;=Rechner!$B$6,Rechner!$E$5+1464,""))</f>
        <v/>
      </c>
      <c r="B1466">
        <f>IF(A1466="","",LOOKUP(A1466,Basiszins!$A$5:$A$18,Basiszins!$B$5:$B$18))</f>
        <v/>
      </c>
      <c r="C1466">
        <f>IF(A1466="","",B1466+Rechner!$E$7)</f>
        <v/>
      </c>
      <c r="D1466">
        <f>J1465</f>
        <v/>
      </c>
      <c r="E1466">
        <f>IF(A1466="",0,D1466*C1466/100/(DATE(YEAR(A1466)+1,1,1)-DATE(YEAR(A1466),1,1)))</f>
        <v/>
      </c>
      <c r="F1466">
        <f>IF(A1466="",0,SUMIF(Rechner!$A$12:$A$21,A1466,Rechner!$B$12:$B$21))</f>
        <v/>
      </c>
      <c r="G1466">
        <f>H1465+E1466</f>
        <v/>
      </c>
      <c r="H1466">
        <f>G1466-MIN(F1466,G1466)</f>
        <v/>
      </c>
      <c r="I1466">
        <f>MIN(F1466-MIN(F1466,G1466),D1466)</f>
        <v/>
      </c>
      <c r="J1466">
        <f>D1466-I1466</f>
        <v/>
      </c>
      <c r="K1466">
        <f>F1466-MIN(F1466,G1466)-I1466</f>
        <v/>
      </c>
    </row>
    <row r="1467">
      <c r="A1467" s="21">
        <f>IF(Rechner!$E$4&lt;&gt;"ok","",IF(Rechner!$E$5+1465&lt;=Rechner!$B$6,Rechner!$E$5+1465,""))</f>
        <v/>
      </c>
      <c r="B1467">
        <f>IF(A1467="","",LOOKUP(A1467,Basiszins!$A$5:$A$18,Basiszins!$B$5:$B$18))</f>
        <v/>
      </c>
      <c r="C1467">
        <f>IF(A1467="","",B1467+Rechner!$E$7)</f>
        <v/>
      </c>
      <c r="D1467">
        <f>J1466</f>
        <v/>
      </c>
      <c r="E1467">
        <f>IF(A1467="",0,D1467*C1467/100/(DATE(YEAR(A1467)+1,1,1)-DATE(YEAR(A1467),1,1)))</f>
        <v/>
      </c>
      <c r="F1467">
        <f>IF(A1467="",0,SUMIF(Rechner!$A$12:$A$21,A1467,Rechner!$B$12:$B$21))</f>
        <v/>
      </c>
      <c r="G1467">
        <f>H1466+E1467</f>
        <v/>
      </c>
      <c r="H1467">
        <f>G1467-MIN(F1467,G1467)</f>
        <v/>
      </c>
      <c r="I1467">
        <f>MIN(F1467-MIN(F1467,G1467),D1467)</f>
        <v/>
      </c>
      <c r="J1467">
        <f>D1467-I1467</f>
        <v/>
      </c>
      <c r="K1467">
        <f>F1467-MIN(F1467,G1467)-I1467</f>
        <v/>
      </c>
    </row>
    <row r="1468">
      <c r="A1468" s="21">
        <f>IF(Rechner!$E$4&lt;&gt;"ok","",IF(Rechner!$E$5+1466&lt;=Rechner!$B$6,Rechner!$E$5+1466,""))</f>
        <v/>
      </c>
      <c r="B1468">
        <f>IF(A1468="","",LOOKUP(A1468,Basiszins!$A$5:$A$18,Basiszins!$B$5:$B$18))</f>
        <v/>
      </c>
      <c r="C1468">
        <f>IF(A1468="","",B1468+Rechner!$E$7)</f>
        <v/>
      </c>
      <c r="D1468">
        <f>J1467</f>
        <v/>
      </c>
      <c r="E1468">
        <f>IF(A1468="",0,D1468*C1468/100/(DATE(YEAR(A1468)+1,1,1)-DATE(YEAR(A1468),1,1)))</f>
        <v/>
      </c>
      <c r="F1468">
        <f>IF(A1468="",0,SUMIF(Rechner!$A$12:$A$21,A1468,Rechner!$B$12:$B$21))</f>
        <v/>
      </c>
      <c r="G1468">
        <f>H1467+E1468</f>
        <v/>
      </c>
      <c r="H1468">
        <f>G1468-MIN(F1468,G1468)</f>
        <v/>
      </c>
      <c r="I1468">
        <f>MIN(F1468-MIN(F1468,G1468),D1468)</f>
        <v/>
      </c>
      <c r="J1468">
        <f>D1468-I1468</f>
        <v/>
      </c>
      <c r="K1468">
        <f>F1468-MIN(F1468,G1468)-I1468</f>
        <v/>
      </c>
    </row>
    <row r="1469">
      <c r="A1469" s="21">
        <f>IF(Rechner!$E$4&lt;&gt;"ok","",IF(Rechner!$E$5+1467&lt;=Rechner!$B$6,Rechner!$E$5+1467,""))</f>
        <v/>
      </c>
      <c r="B1469">
        <f>IF(A1469="","",LOOKUP(A1469,Basiszins!$A$5:$A$18,Basiszins!$B$5:$B$18))</f>
        <v/>
      </c>
      <c r="C1469">
        <f>IF(A1469="","",B1469+Rechner!$E$7)</f>
        <v/>
      </c>
      <c r="D1469">
        <f>J1468</f>
        <v/>
      </c>
      <c r="E1469">
        <f>IF(A1469="",0,D1469*C1469/100/(DATE(YEAR(A1469)+1,1,1)-DATE(YEAR(A1469),1,1)))</f>
        <v/>
      </c>
      <c r="F1469">
        <f>IF(A1469="",0,SUMIF(Rechner!$A$12:$A$21,A1469,Rechner!$B$12:$B$21))</f>
        <v/>
      </c>
      <c r="G1469">
        <f>H1468+E1469</f>
        <v/>
      </c>
      <c r="H1469">
        <f>G1469-MIN(F1469,G1469)</f>
        <v/>
      </c>
      <c r="I1469">
        <f>MIN(F1469-MIN(F1469,G1469),D1469)</f>
        <v/>
      </c>
      <c r="J1469">
        <f>D1469-I1469</f>
        <v/>
      </c>
      <c r="K1469">
        <f>F1469-MIN(F1469,G1469)-I1469</f>
        <v/>
      </c>
    </row>
    <row r="1470">
      <c r="A1470" s="21">
        <f>IF(Rechner!$E$4&lt;&gt;"ok","",IF(Rechner!$E$5+1468&lt;=Rechner!$B$6,Rechner!$E$5+1468,""))</f>
        <v/>
      </c>
      <c r="B1470">
        <f>IF(A1470="","",LOOKUP(A1470,Basiszins!$A$5:$A$18,Basiszins!$B$5:$B$18))</f>
        <v/>
      </c>
      <c r="C1470">
        <f>IF(A1470="","",B1470+Rechner!$E$7)</f>
        <v/>
      </c>
      <c r="D1470">
        <f>J1469</f>
        <v/>
      </c>
      <c r="E1470">
        <f>IF(A1470="",0,D1470*C1470/100/(DATE(YEAR(A1470)+1,1,1)-DATE(YEAR(A1470),1,1)))</f>
        <v/>
      </c>
      <c r="F1470">
        <f>IF(A1470="",0,SUMIF(Rechner!$A$12:$A$21,A1470,Rechner!$B$12:$B$21))</f>
        <v/>
      </c>
      <c r="G1470">
        <f>H1469+E1470</f>
        <v/>
      </c>
      <c r="H1470">
        <f>G1470-MIN(F1470,G1470)</f>
        <v/>
      </c>
      <c r="I1470">
        <f>MIN(F1470-MIN(F1470,G1470),D1470)</f>
        <v/>
      </c>
      <c r="J1470">
        <f>D1470-I1470</f>
        <v/>
      </c>
      <c r="K1470">
        <f>F1470-MIN(F1470,G1470)-I1470</f>
        <v/>
      </c>
    </row>
    <row r="1471">
      <c r="A1471" s="21">
        <f>IF(Rechner!$E$4&lt;&gt;"ok","",IF(Rechner!$E$5+1469&lt;=Rechner!$B$6,Rechner!$E$5+1469,""))</f>
        <v/>
      </c>
      <c r="B1471">
        <f>IF(A1471="","",LOOKUP(A1471,Basiszins!$A$5:$A$18,Basiszins!$B$5:$B$18))</f>
        <v/>
      </c>
      <c r="C1471">
        <f>IF(A1471="","",B1471+Rechner!$E$7)</f>
        <v/>
      </c>
      <c r="D1471">
        <f>J1470</f>
        <v/>
      </c>
      <c r="E1471">
        <f>IF(A1471="",0,D1471*C1471/100/(DATE(YEAR(A1471)+1,1,1)-DATE(YEAR(A1471),1,1)))</f>
        <v/>
      </c>
      <c r="F1471">
        <f>IF(A1471="",0,SUMIF(Rechner!$A$12:$A$21,A1471,Rechner!$B$12:$B$21))</f>
        <v/>
      </c>
      <c r="G1471">
        <f>H1470+E1471</f>
        <v/>
      </c>
      <c r="H1471">
        <f>G1471-MIN(F1471,G1471)</f>
        <v/>
      </c>
      <c r="I1471">
        <f>MIN(F1471-MIN(F1471,G1471),D1471)</f>
        <v/>
      </c>
      <c r="J1471">
        <f>D1471-I1471</f>
        <v/>
      </c>
      <c r="K1471">
        <f>F1471-MIN(F1471,G1471)-I1471</f>
        <v/>
      </c>
    </row>
    <row r="1472">
      <c r="A1472" s="21">
        <f>IF(Rechner!$E$4&lt;&gt;"ok","",IF(Rechner!$E$5+1470&lt;=Rechner!$B$6,Rechner!$E$5+1470,""))</f>
        <v/>
      </c>
      <c r="B1472">
        <f>IF(A1472="","",LOOKUP(A1472,Basiszins!$A$5:$A$18,Basiszins!$B$5:$B$18))</f>
        <v/>
      </c>
      <c r="C1472">
        <f>IF(A1472="","",B1472+Rechner!$E$7)</f>
        <v/>
      </c>
      <c r="D1472">
        <f>J1471</f>
        <v/>
      </c>
      <c r="E1472">
        <f>IF(A1472="",0,D1472*C1472/100/(DATE(YEAR(A1472)+1,1,1)-DATE(YEAR(A1472),1,1)))</f>
        <v/>
      </c>
      <c r="F1472">
        <f>IF(A1472="",0,SUMIF(Rechner!$A$12:$A$21,A1472,Rechner!$B$12:$B$21))</f>
        <v/>
      </c>
      <c r="G1472">
        <f>H1471+E1472</f>
        <v/>
      </c>
      <c r="H1472">
        <f>G1472-MIN(F1472,G1472)</f>
        <v/>
      </c>
      <c r="I1472">
        <f>MIN(F1472-MIN(F1472,G1472),D1472)</f>
        <v/>
      </c>
      <c r="J1472">
        <f>D1472-I1472</f>
        <v/>
      </c>
      <c r="K1472">
        <f>F1472-MIN(F1472,G1472)-I1472</f>
        <v/>
      </c>
    </row>
    <row r="1473">
      <c r="A1473" s="21">
        <f>IF(Rechner!$E$4&lt;&gt;"ok","",IF(Rechner!$E$5+1471&lt;=Rechner!$B$6,Rechner!$E$5+1471,""))</f>
        <v/>
      </c>
      <c r="B1473">
        <f>IF(A1473="","",LOOKUP(A1473,Basiszins!$A$5:$A$18,Basiszins!$B$5:$B$18))</f>
        <v/>
      </c>
      <c r="C1473">
        <f>IF(A1473="","",B1473+Rechner!$E$7)</f>
        <v/>
      </c>
      <c r="D1473">
        <f>J1472</f>
        <v/>
      </c>
      <c r="E1473">
        <f>IF(A1473="",0,D1473*C1473/100/(DATE(YEAR(A1473)+1,1,1)-DATE(YEAR(A1473),1,1)))</f>
        <v/>
      </c>
      <c r="F1473">
        <f>IF(A1473="",0,SUMIF(Rechner!$A$12:$A$21,A1473,Rechner!$B$12:$B$21))</f>
        <v/>
      </c>
      <c r="G1473">
        <f>H1472+E1473</f>
        <v/>
      </c>
      <c r="H1473">
        <f>G1473-MIN(F1473,G1473)</f>
        <v/>
      </c>
      <c r="I1473">
        <f>MIN(F1473-MIN(F1473,G1473),D1473)</f>
        <v/>
      </c>
      <c r="J1473">
        <f>D1473-I1473</f>
        <v/>
      </c>
      <c r="K1473">
        <f>F1473-MIN(F1473,G1473)-I1473</f>
        <v/>
      </c>
    </row>
    <row r="1474">
      <c r="A1474" s="21">
        <f>IF(Rechner!$E$4&lt;&gt;"ok","",IF(Rechner!$E$5+1472&lt;=Rechner!$B$6,Rechner!$E$5+1472,""))</f>
        <v/>
      </c>
      <c r="B1474">
        <f>IF(A1474="","",LOOKUP(A1474,Basiszins!$A$5:$A$18,Basiszins!$B$5:$B$18))</f>
        <v/>
      </c>
      <c r="C1474">
        <f>IF(A1474="","",B1474+Rechner!$E$7)</f>
        <v/>
      </c>
      <c r="D1474">
        <f>J1473</f>
        <v/>
      </c>
      <c r="E1474">
        <f>IF(A1474="",0,D1474*C1474/100/(DATE(YEAR(A1474)+1,1,1)-DATE(YEAR(A1474),1,1)))</f>
        <v/>
      </c>
      <c r="F1474">
        <f>IF(A1474="",0,SUMIF(Rechner!$A$12:$A$21,A1474,Rechner!$B$12:$B$21))</f>
        <v/>
      </c>
      <c r="G1474">
        <f>H1473+E1474</f>
        <v/>
      </c>
      <c r="H1474">
        <f>G1474-MIN(F1474,G1474)</f>
        <v/>
      </c>
      <c r="I1474">
        <f>MIN(F1474-MIN(F1474,G1474),D1474)</f>
        <v/>
      </c>
      <c r="J1474">
        <f>D1474-I1474</f>
        <v/>
      </c>
      <c r="K1474">
        <f>F1474-MIN(F1474,G1474)-I1474</f>
        <v/>
      </c>
    </row>
    <row r="1475">
      <c r="A1475" s="21">
        <f>IF(Rechner!$E$4&lt;&gt;"ok","",IF(Rechner!$E$5+1473&lt;=Rechner!$B$6,Rechner!$E$5+1473,""))</f>
        <v/>
      </c>
      <c r="B1475">
        <f>IF(A1475="","",LOOKUP(A1475,Basiszins!$A$5:$A$18,Basiszins!$B$5:$B$18))</f>
        <v/>
      </c>
      <c r="C1475">
        <f>IF(A1475="","",B1475+Rechner!$E$7)</f>
        <v/>
      </c>
      <c r="D1475">
        <f>J1474</f>
        <v/>
      </c>
      <c r="E1475">
        <f>IF(A1475="",0,D1475*C1475/100/(DATE(YEAR(A1475)+1,1,1)-DATE(YEAR(A1475),1,1)))</f>
        <v/>
      </c>
      <c r="F1475">
        <f>IF(A1475="",0,SUMIF(Rechner!$A$12:$A$21,A1475,Rechner!$B$12:$B$21))</f>
        <v/>
      </c>
      <c r="G1475">
        <f>H1474+E1475</f>
        <v/>
      </c>
      <c r="H1475">
        <f>G1475-MIN(F1475,G1475)</f>
        <v/>
      </c>
      <c r="I1475">
        <f>MIN(F1475-MIN(F1475,G1475),D1475)</f>
        <v/>
      </c>
      <c r="J1475">
        <f>D1475-I1475</f>
        <v/>
      </c>
      <c r="K1475">
        <f>F1475-MIN(F1475,G1475)-I1475</f>
        <v/>
      </c>
    </row>
    <row r="1476">
      <c r="A1476" s="21">
        <f>IF(Rechner!$E$4&lt;&gt;"ok","",IF(Rechner!$E$5+1474&lt;=Rechner!$B$6,Rechner!$E$5+1474,""))</f>
        <v/>
      </c>
      <c r="B1476">
        <f>IF(A1476="","",LOOKUP(A1476,Basiszins!$A$5:$A$18,Basiszins!$B$5:$B$18))</f>
        <v/>
      </c>
      <c r="C1476">
        <f>IF(A1476="","",B1476+Rechner!$E$7)</f>
        <v/>
      </c>
      <c r="D1476">
        <f>J1475</f>
        <v/>
      </c>
      <c r="E1476">
        <f>IF(A1476="",0,D1476*C1476/100/(DATE(YEAR(A1476)+1,1,1)-DATE(YEAR(A1476),1,1)))</f>
        <v/>
      </c>
      <c r="F1476">
        <f>IF(A1476="",0,SUMIF(Rechner!$A$12:$A$21,A1476,Rechner!$B$12:$B$21))</f>
        <v/>
      </c>
      <c r="G1476">
        <f>H1475+E1476</f>
        <v/>
      </c>
      <c r="H1476">
        <f>G1476-MIN(F1476,G1476)</f>
        <v/>
      </c>
      <c r="I1476">
        <f>MIN(F1476-MIN(F1476,G1476),D1476)</f>
        <v/>
      </c>
      <c r="J1476">
        <f>D1476-I1476</f>
        <v/>
      </c>
      <c r="K1476">
        <f>F1476-MIN(F1476,G1476)-I1476</f>
        <v/>
      </c>
    </row>
    <row r="1477">
      <c r="A1477" s="21">
        <f>IF(Rechner!$E$4&lt;&gt;"ok","",IF(Rechner!$E$5+1475&lt;=Rechner!$B$6,Rechner!$E$5+1475,""))</f>
        <v/>
      </c>
      <c r="B1477">
        <f>IF(A1477="","",LOOKUP(A1477,Basiszins!$A$5:$A$18,Basiszins!$B$5:$B$18))</f>
        <v/>
      </c>
      <c r="C1477">
        <f>IF(A1477="","",B1477+Rechner!$E$7)</f>
        <v/>
      </c>
      <c r="D1477">
        <f>J1476</f>
        <v/>
      </c>
      <c r="E1477">
        <f>IF(A1477="",0,D1477*C1477/100/(DATE(YEAR(A1477)+1,1,1)-DATE(YEAR(A1477),1,1)))</f>
        <v/>
      </c>
      <c r="F1477">
        <f>IF(A1477="",0,SUMIF(Rechner!$A$12:$A$21,A1477,Rechner!$B$12:$B$21))</f>
        <v/>
      </c>
      <c r="G1477">
        <f>H1476+E1477</f>
        <v/>
      </c>
      <c r="H1477">
        <f>G1477-MIN(F1477,G1477)</f>
        <v/>
      </c>
      <c r="I1477">
        <f>MIN(F1477-MIN(F1477,G1477),D1477)</f>
        <v/>
      </c>
      <c r="J1477">
        <f>D1477-I1477</f>
        <v/>
      </c>
      <c r="K1477">
        <f>F1477-MIN(F1477,G1477)-I1477</f>
        <v/>
      </c>
    </row>
    <row r="1478">
      <c r="A1478" s="21">
        <f>IF(Rechner!$E$4&lt;&gt;"ok","",IF(Rechner!$E$5+1476&lt;=Rechner!$B$6,Rechner!$E$5+1476,""))</f>
        <v/>
      </c>
      <c r="B1478">
        <f>IF(A1478="","",LOOKUP(A1478,Basiszins!$A$5:$A$18,Basiszins!$B$5:$B$18))</f>
        <v/>
      </c>
      <c r="C1478">
        <f>IF(A1478="","",B1478+Rechner!$E$7)</f>
        <v/>
      </c>
      <c r="D1478">
        <f>J1477</f>
        <v/>
      </c>
      <c r="E1478">
        <f>IF(A1478="",0,D1478*C1478/100/(DATE(YEAR(A1478)+1,1,1)-DATE(YEAR(A1478),1,1)))</f>
        <v/>
      </c>
      <c r="F1478">
        <f>IF(A1478="",0,SUMIF(Rechner!$A$12:$A$21,A1478,Rechner!$B$12:$B$21))</f>
        <v/>
      </c>
      <c r="G1478">
        <f>H1477+E1478</f>
        <v/>
      </c>
      <c r="H1478">
        <f>G1478-MIN(F1478,G1478)</f>
        <v/>
      </c>
      <c r="I1478">
        <f>MIN(F1478-MIN(F1478,G1478),D1478)</f>
        <v/>
      </c>
      <c r="J1478">
        <f>D1478-I1478</f>
        <v/>
      </c>
      <c r="K1478">
        <f>F1478-MIN(F1478,G1478)-I1478</f>
        <v/>
      </c>
    </row>
    <row r="1479">
      <c r="A1479" s="21">
        <f>IF(Rechner!$E$4&lt;&gt;"ok","",IF(Rechner!$E$5+1477&lt;=Rechner!$B$6,Rechner!$E$5+1477,""))</f>
        <v/>
      </c>
      <c r="B1479">
        <f>IF(A1479="","",LOOKUP(A1479,Basiszins!$A$5:$A$18,Basiszins!$B$5:$B$18))</f>
        <v/>
      </c>
      <c r="C1479">
        <f>IF(A1479="","",B1479+Rechner!$E$7)</f>
        <v/>
      </c>
      <c r="D1479">
        <f>J1478</f>
        <v/>
      </c>
      <c r="E1479">
        <f>IF(A1479="",0,D1479*C1479/100/(DATE(YEAR(A1479)+1,1,1)-DATE(YEAR(A1479),1,1)))</f>
        <v/>
      </c>
      <c r="F1479">
        <f>IF(A1479="",0,SUMIF(Rechner!$A$12:$A$21,A1479,Rechner!$B$12:$B$21))</f>
        <v/>
      </c>
      <c r="G1479">
        <f>H1478+E1479</f>
        <v/>
      </c>
      <c r="H1479">
        <f>G1479-MIN(F1479,G1479)</f>
        <v/>
      </c>
      <c r="I1479">
        <f>MIN(F1479-MIN(F1479,G1479),D1479)</f>
        <v/>
      </c>
      <c r="J1479">
        <f>D1479-I1479</f>
        <v/>
      </c>
      <c r="K1479">
        <f>F1479-MIN(F1479,G1479)-I1479</f>
        <v/>
      </c>
    </row>
    <row r="1480">
      <c r="A1480" s="21">
        <f>IF(Rechner!$E$4&lt;&gt;"ok","",IF(Rechner!$E$5+1478&lt;=Rechner!$B$6,Rechner!$E$5+1478,""))</f>
        <v/>
      </c>
      <c r="B1480">
        <f>IF(A1480="","",LOOKUP(A1480,Basiszins!$A$5:$A$18,Basiszins!$B$5:$B$18))</f>
        <v/>
      </c>
      <c r="C1480">
        <f>IF(A1480="","",B1480+Rechner!$E$7)</f>
        <v/>
      </c>
      <c r="D1480">
        <f>J1479</f>
        <v/>
      </c>
      <c r="E1480">
        <f>IF(A1480="",0,D1480*C1480/100/(DATE(YEAR(A1480)+1,1,1)-DATE(YEAR(A1480),1,1)))</f>
        <v/>
      </c>
      <c r="F1480">
        <f>IF(A1480="",0,SUMIF(Rechner!$A$12:$A$21,A1480,Rechner!$B$12:$B$21))</f>
        <v/>
      </c>
      <c r="G1480">
        <f>H1479+E1480</f>
        <v/>
      </c>
      <c r="H1480">
        <f>G1480-MIN(F1480,G1480)</f>
        <v/>
      </c>
      <c r="I1480">
        <f>MIN(F1480-MIN(F1480,G1480),D1480)</f>
        <v/>
      </c>
      <c r="J1480">
        <f>D1480-I1480</f>
        <v/>
      </c>
      <c r="K1480">
        <f>F1480-MIN(F1480,G1480)-I1480</f>
        <v/>
      </c>
    </row>
    <row r="1481">
      <c r="A1481" s="21">
        <f>IF(Rechner!$E$4&lt;&gt;"ok","",IF(Rechner!$E$5+1479&lt;=Rechner!$B$6,Rechner!$E$5+1479,""))</f>
        <v/>
      </c>
      <c r="B1481">
        <f>IF(A1481="","",LOOKUP(A1481,Basiszins!$A$5:$A$18,Basiszins!$B$5:$B$18))</f>
        <v/>
      </c>
      <c r="C1481">
        <f>IF(A1481="","",B1481+Rechner!$E$7)</f>
        <v/>
      </c>
      <c r="D1481">
        <f>J1480</f>
        <v/>
      </c>
      <c r="E1481">
        <f>IF(A1481="",0,D1481*C1481/100/(DATE(YEAR(A1481)+1,1,1)-DATE(YEAR(A1481),1,1)))</f>
        <v/>
      </c>
      <c r="F1481">
        <f>IF(A1481="",0,SUMIF(Rechner!$A$12:$A$21,A1481,Rechner!$B$12:$B$21))</f>
        <v/>
      </c>
      <c r="G1481">
        <f>H1480+E1481</f>
        <v/>
      </c>
      <c r="H1481">
        <f>G1481-MIN(F1481,G1481)</f>
        <v/>
      </c>
      <c r="I1481">
        <f>MIN(F1481-MIN(F1481,G1481),D1481)</f>
        <v/>
      </c>
      <c r="J1481">
        <f>D1481-I1481</f>
        <v/>
      </c>
      <c r="K1481">
        <f>F1481-MIN(F1481,G1481)-I1481</f>
        <v/>
      </c>
    </row>
    <row r="1482">
      <c r="A1482" s="21">
        <f>IF(Rechner!$E$4&lt;&gt;"ok","",IF(Rechner!$E$5+1480&lt;=Rechner!$B$6,Rechner!$E$5+1480,""))</f>
        <v/>
      </c>
      <c r="B1482">
        <f>IF(A1482="","",LOOKUP(A1482,Basiszins!$A$5:$A$18,Basiszins!$B$5:$B$18))</f>
        <v/>
      </c>
      <c r="C1482">
        <f>IF(A1482="","",B1482+Rechner!$E$7)</f>
        <v/>
      </c>
      <c r="D1482">
        <f>J1481</f>
        <v/>
      </c>
      <c r="E1482">
        <f>IF(A1482="",0,D1482*C1482/100/(DATE(YEAR(A1482)+1,1,1)-DATE(YEAR(A1482),1,1)))</f>
        <v/>
      </c>
      <c r="F1482">
        <f>IF(A1482="",0,SUMIF(Rechner!$A$12:$A$21,A1482,Rechner!$B$12:$B$21))</f>
        <v/>
      </c>
      <c r="G1482">
        <f>H1481+E1482</f>
        <v/>
      </c>
      <c r="H1482">
        <f>G1482-MIN(F1482,G1482)</f>
        <v/>
      </c>
      <c r="I1482">
        <f>MIN(F1482-MIN(F1482,G1482),D1482)</f>
        <v/>
      </c>
      <c r="J1482">
        <f>D1482-I1482</f>
        <v/>
      </c>
      <c r="K1482">
        <f>F1482-MIN(F1482,G1482)-I1482</f>
        <v/>
      </c>
    </row>
    <row r="1483">
      <c r="A1483" s="21">
        <f>IF(Rechner!$E$4&lt;&gt;"ok","",IF(Rechner!$E$5+1481&lt;=Rechner!$B$6,Rechner!$E$5+1481,""))</f>
        <v/>
      </c>
      <c r="B1483">
        <f>IF(A1483="","",LOOKUP(A1483,Basiszins!$A$5:$A$18,Basiszins!$B$5:$B$18))</f>
        <v/>
      </c>
      <c r="C1483">
        <f>IF(A1483="","",B1483+Rechner!$E$7)</f>
        <v/>
      </c>
      <c r="D1483">
        <f>J1482</f>
        <v/>
      </c>
      <c r="E1483">
        <f>IF(A1483="",0,D1483*C1483/100/(DATE(YEAR(A1483)+1,1,1)-DATE(YEAR(A1483),1,1)))</f>
        <v/>
      </c>
      <c r="F1483">
        <f>IF(A1483="",0,SUMIF(Rechner!$A$12:$A$21,A1483,Rechner!$B$12:$B$21))</f>
        <v/>
      </c>
      <c r="G1483">
        <f>H1482+E1483</f>
        <v/>
      </c>
      <c r="H1483">
        <f>G1483-MIN(F1483,G1483)</f>
        <v/>
      </c>
      <c r="I1483">
        <f>MIN(F1483-MIN(F1483,G1483),D1483)</f>
        <v/>
      </c>
      <c r="J1483">
        <f>D1483-I1483</f>
        <v/>
      </c>
      <c r="K1483">
        <f>F1483-MIN(F1483,G1483)-I1483</f>
        <v/>
      </c>
    </row>
    <row r="1484">
      <c r="A1484" s="21">
        <f>IF(Rechner!$E$4&lt;&gt;"ok","",IF(Rechner!$E$5+1482&lt;=Rechner!$B$6,Rechner!$E$5+1482,""))</f>
        <v/>
      </c>
      <c r="B1484">
        <f>IF(A1484="","",LOOKUP(A1484,Basiszins!$A$5:$A$18,Basiszins!$B$5:$B$18))</f>
        <v/>
      </c>
      <c r="C1484">
        <f>IF(A1484="","",B1484+Rechner!$E$7)</f>
        <v/>
      </c>
      <c r="D1484">
        <f>J1483</f>
        <v/>
      </c>
      <c r="E1484">
        <f>IF(A1484="",0,D1484*C1484/100/(DATE(YEAR(A1484)+1,1,1)-DATE(YEAR(A1484),1,1)))</f>
        <v/>
      </c>
      <c r="F1484">
        <f>IF(A1484="",0,SUMIF(Rechner!$A$12:$A$21,A1484,Rechner!$B$12:$B$21))</f>
        <v/>
      </c>
      <c r="G1484">
        <f>H1483+E1484</f>
        <v/>
      </c>
      <c r="H1484">
        <f>G1484-MIN(F1484,G1484)</f>
        <v/>
      </c>
      <c r="I1484">
        <f>MIN(F1484-MIN(F1484,G1484),D1484)</f>
        <v/>
      </c>
      <c r="J1484">
        <f>D1484-I1484</f>
        <v/>
      </c>
      <c r="K1484">
        <f>F1484-MIN(F1484,G1484)-I1484</f>
        <v/>
      </c>
    </row>
    <row r="1485">
      <c r="A1485" s="21">
        <f>IF(Rechner!$E$4&lt;&gt;"ok","",IF(Rechner!$E$5+1483&lt;=Rechner!$B$6,Rechner!$E$5+1483,""))</f>
        <v/>
      </c>
      <c r="B1485">
        <f>IF(A1485="","",LOOKUP(A1485,Basiszins!$A$5:$A$18,Basiszins!$B$5:$B$18))</f>
        <v/>
      </c>
      <c r="C1485">
        <f>IF(A1485="","",B1485+Rechner!$E$7)</f>
        <v/>
      </c>
      <c r="D1485">
        <f>J1484</f>
        <v/>
      </c>
      <c r="E1485">
        <f>IF(A1485="",0,D1485*C1485/100/(DATE(YEAR(A1485)+1,1,1)-DATE(YEAR(A1485),1,1)))</f>
        <v/>
      </c>
      <c r="F1485">
        <f>IF(A1485="",0,SUMIF(Rechner!$A$12:$A$21,A1485,Rechner!$B$12:$B$21))</f>
        <v/>
      </c>
      <c r="G1485">
        <f>H1484+E1485</f>
        <v/>
      </c>
      <c r="H1485">
        <f>G1485-MIN(F1485,G1485)</f>
        <v/>
      </c>
      <c r="I1485">
        <f>MIN(F1485-MIN(F1485,G1485),D1485)</f>
        <v/>
      </c>
      <c r="J1485">
        <f>D1485-I1485</f>
        <v/>
      </c>
      <c r="K1485">
        <f>F1485-MIN(F1485,G1485)-I1485</f>
        <v/>
      </c>
    </row>
    <row r="1486">
      <c r="A1486" s="21">
        <f>IF(Rechner!$E$4&lt;&gt;"ok","",IF(Rechner!$E$5+1484&lt;=Rechner!$B$6,Rechner!$E$5+1484,""))</f>
        <v/>
      </c>
      <c r="B1486">
        <f>IF(A1486="","",LOOKUP(A1486,Basiszins!$A$5:$A$18,Basiszins!$B$5:$B$18))</f>
        <v/>
      </c>
      <c r="C1486">
        <f>IF(A1486="","",B1486+Rechner!$E$7)</f>
        <v/>
      </c>
      <c r="D1486">
        <f>J1485</f>
        <v/>
      </c>
      <c r="E1486">
        <f>IF(A1486="",0,D1486*C1486/100/(DATE(YEAR(A1486)+1,1,1)-DATE(YEAR(A1486),1,1)))</f>
        <v/>
      </c>
      <c r="F1486">
        <f>IF(A1486="",0,SUMIF(Rechner!$A$12:$A$21,A1486,Rechner!$B$12:$B$21))</f>
        <v/>
      </c>
      <c r="G1486">
        <f>H1485+E1486</f>
        <v/>
      </c>
      <c r="H1486">
        <f>G1486-MIN(F1486,G1486)</f>
        <v/>
      </c>
      <c r="I1486">
        <f>MIN(F1486-MIN(F1486,G1486),D1486)</f>
        <v/>
      </c>
      <c r="J1486">
        <f>D1486-I1486</f>
        <v/>
      </c>
      <c r="K1486">
        <f>F1486-MIN(F1486,G1486)-I1486</f>
        <v/>
      </c>
    </row>
    <row r="1487">
      <c r="A1487" s="21">
        <f>IF(Rechner!$E$4&lt;&gt;"ok","",IF(Rechner!$E$5+1485&lt;=Rechner!$B$6,Rechner!$E$5+1485,""))</f>
        <v/>
      </c>
      <c r="B1487">
        <f>IF(A1487="","",LOOKUP(A1487,Basiszins!$A$5:$A$18,Basiszins!$B$5:$B$18))</f>
        <v/>
      </c>
      <c r="C1487">
        <f>IF(A1487="","",B1487+Rechner!$E$7)</f>
        <v/>
      </c>
      <c r="D1487">
        <f>J1486</f>
        <v/>
      </c>
      <c r="E1487">
        <f>IF(A1487="",0,D1487*C1487/100/(DATE(YEAR(A1487)+1,1,1)-DATE(YEAR(A1487),1,1)))</f>
        <v/>
      </c>
      <c r="F1487">
        <f>IF(A1487="",0,SUMIF(Rechner!$A$12:$A$21,A1487,Rechner!$B$12:$B$21))</f>
        <v/>
      </c>
      <c r="G1487">
        <f>H1486+E1487</f>
        <v/>
      </c>
      <c r="H1487">
        <f>G1487-MIN(F1487,G1487)</f>
        <v/>
      </c>
      <c r="I1487">
        <f>MIN(F1487-MIN(F1487,G1487),D1487)</f>
        <v/>
      </c>
      <c r="J1487">
        <f>D1487-I1487</f>
        <v/>
      </c>
      <c r="K1487">
        <f>F1487-MIN(F1487,G1487)-I1487</f>
        <v/>
      </c>
    </row>
    <row r="1488">
      <c r="A1488" s="21">
        <f>IF(Rechner!$E$4&lt;&gt;"ok","",IF(Rechner!$E$5+1486&lt;=Rechner!$B$6,Rechner!$E$5+1486,""))</f>
        <v/>
      </c>
      <c r="B1488">
        <f>IF(A1488="","",LOOKUP(A1488,Basiszins!$A$5:$A$18,Basiszins!$B$5:$B$18))</f>
        <v/>
      </c>
      <c r="C1488">
        <f>IF(A1488="","",B1488+Rechner!$E$7)</f>
        <v/>
      </c>
      <c r="D1488">
        <f>J1487</f>
        <v/>
      </c>
      <c r="E1488">
        <f>IF(A1488="",0,D1488*C1488/100/(DATE(YEAR(A1488)+1,1,1)-DATE(YEAR(A1488),1,1)))</f>
        <v/>
      </c>
      <c r="F1488">
        <f>IF(A1488="",0,SUMIF(Rechner!$A$12:$A$21,A1488,Rechner!$B$12:$B$21))</f>
        <v/>
      </c>
      <c r="G1488">
        <f>H1487+E1488</f>
        <v/>
      </c>
      <c r="H1488">
        <f>G1488-MIN(F1488,G1488)</f>
        <v/>
      </c>
      <c r="I1488">
        <f>MIN(F1488-MIN(F1488,G1488),D1488)</f>
        <v/>
      </c>
      <c r="J1488">
        <f>D1488-I1488</f>
        <v/>
      </c>
      <c r="K1488">
        <f>F1488-MIN(F1488,G1488)-I1488</f>
        <v/>
      </c>
    </row>
    <row r="1489">
      <c r="A1489" s="21">
        <f>IF(Rechner!$E$4&lt;&gt;"ok","",IF(Rechner!$E$5+1487&lt;=Rechner!$B$6,Rechner!$E$5+1487,""))</f>
        <v/>
      </c>
      <c r="B1489">
        <f>IF(A1489="","",LOOKUP(A1489,Basiszins!$A$5:$A$18,Basiszins!$B$5:$B$18))</f>
        <v/>
      </c>
      <c r="C1489">
        <f>IF(A1489="","",B1489+Rechner!$E$7)</f>
        <v/>
      </c>
      <c r="D1489">
        <f>J1488</f>
        <v/>
      </c>
      <c r="E1489">
        <f>IF(A1489="",0,D1489*C1489/100/(DATE(YEAR(A1489)+1,1,1)-DATE(YEAR(A1489),1,1)))</f>
        <v/>
      </c>
      <c r="F1489">
        <f>IF(A1489="",0,SUMIF(Rechner!$A$12:$A$21,A1489,Rechner!$B$12:$B$21))</f>
        <v/>
      </c>
      <c r="G1489">
        <f>H1488+E1489</f>
        <v/>
      </c>
      <c r="H1489">
        <f>G1489-MIN(F1489,G1489)</f>
        <v/>
      </c>
      <c r="I1489">
        <f>MIN(F1489-MIN(F1489,G1489),D1489)</f>
        <v/>
      </c>
      <c r="J1489">
        <f>D1489-I1489</f>
        <v/>
      </c>
      <c r="K1489">
        <f>F1489-MIN(F1489,G1489)-I1489</f>
        <v/>
      </c>
    </row>
    <row r="1490">
      <c r="A1490" s="21">
        <f>IF(Rechner!$E$4&lt;&gt;"ok","",IF(Rechner!$E$5+1488&lt;=Rechner!$B$6,Rechner!$E$5+1488,""))</f>
        <v/>
      </c>
      <c r="B1490">
        <f>IF(A1490="","",LOOKUP(A1490,Basiszins!$A$5:$A$18,Basiszins!$B$5:$B$18))</f>
        <v/>
      </c>
      <c r="C1490">
        <f>IF(A1490="","",B1490+Rechner!$E$7)</f>
        <v/>
      </c>
      <c r="D1490">
        <f>J1489</f>
        <v/>
      </c>
      <c r="E1490">
        <f>IF(A1490="",0,D1490*C1490/100/(DATE(YEAR(A1490)+1,1,1)-DATE(YEAR(A1490),1,1)))</f>
        <v/>
      </c>
      <c r="F1490">
        <f>IF(A1490="",0,SUMIF(Rechner!$A$12:$A$21,A1490,Rechner!$B$12:$B$21))</f>
        <v/>
      </c>
      <c r="G1490">
        <f>H1489+E1490</f>
        <v/>
      </c>
      <c r="H1490">
        <f>G1490-MIN(F1490,G1490)</f>
        <v/>
      </c>
      <c r="I1490">
        <f>MIN(F1490-MIN(F1490,G1490),D1490)</f>
        <v/>
      </c>
      <c r="J1490">
        <f>D1490-I1490</f>
        <v/>
      </c>
      <c r="K1490">
        <f>F1490-MIN(F1490,G1490)-I1490</f>
        <v/>
      </c>
    </row>
    <row r="1491">
      <c r="A1491" s="21">
        <f>IF(Rechner!$E$4&lt;&gt;"ok","",IF(Rechner!$E$5+1489&lt;=Rechner!$B$6,Rechner!$E$5+1489,""))</f>
        <v/>
      </c>
      <c r="B1491">
        <f>IF(A1491="","",LOOKUP(A1491,Basiszins!$A$5:$A$18,Basiszins!$B$5:$B$18))</f>
        <v/>
      </c>
      <c r="C1491">
        <f>IF(A1491="","",B1491+Rechner!$E$7)</f>
        <v/>
      </c>
      <c r="D1491">
        <f>J1490</f>
        <v/>
      </c>
      <c r="E1491">
        <f>IF(A1491="",0,D1491*C1491/100/(DATE(YEAR(A1491)+1,1,1)-DATE(YEAR(A1491),1,1)))</f>
        <v/>
      </c>
      <c r="F1491">
        <f>IF(A1491="",0,SUMIF(Rechner!$A$12:$A$21,A1491,Rechner!$B$12:$B$21))</f>
        <v/>
      </c>
      <c r="G1491">
        <f>H1490+E1491</f>
        <v/>
      </c>
      <c r="H1491">
        <f>G1491-MIN(F1491,G1491)</f>
        <v/>
      </c>
      <c r="I1491">
        <f>MIN(F1491-MIN(F1491,G1491),D1491)</f>
        <v/>
      </c>
      <c r="J1491">
        <f>D1491-I1491</f>
        <v/>
      </c>
      <c r="K1491">
        <f>F1491-MIN(F1491,G1491)-I1491</f>
        <v/>
      </c>
    </row>
    <row r="1492">
      <c r="A1492" s="21">
        <f>IF(Rechner!$E$4&lt;&gt;"ok","",IF(Rechner!$E$5+1490&lt;=Rechner!$B$6,Rechner!$E$5+1490,""))</f>
        <v/>
      </c>
      <c r="B1492">
        <f>IF(A1492="","",LOOKUP(A1492,Basiszins!$A$5:$A$18,Basiszins!$B$5:$B$18))</f>
        <v/>
      </c>
      <c r="C1492">
        <f>IF(A1492="","",B1492+Rechner!$E$7)</f>
        <v/>
      </c>
      <c r="D1492">
        <f>J1491</f>
        <v/>
      </c>
      <c r="E1492">
        <f>IF(A1492="",0,D1492*C1492/100/(DATE(YEAR(A1492)+1,1,1)-DATE(YEAR(A1492),1,1)))</f>
        <v/>
      </c>
      <c r="F1492">
        <f>IF(A1492="",0,SUMIF(Rechner!$A$12:$A$21,A1492,Rechner!$B$12:$B$21))</f>
        <v/>
      </c>
      <c r="G1492">
        <f>H1491+E1492</f>
        <v/>
      </c>
      <c r="H1492">
        <f>G1492-MIN(F1492,G1492)</f>
        <v/>
      </c>
      <c r="I1492">
        <f>MIN(F1492-MIN(F1492,G1492),D1492)</f>
        <v/>
      </c>
      <c r="J1492">
        <f>D1492-I1492</f>
        <v/>
      </c>
      <c r="K1492">
        <f>F1492-MIN(F1492,G1492)-I1492</f>
        <v/>
      </c>
    </row>
    <row r="1493">
      <c r="A1493" s="21">
        <f>IF(Rechner!$E$4&lt;&gt;"ok","",IF(Rechner!$E$5+1491&lt;=Rechner!$B$6,Rechner!$E$5+1491,""))</f>
        <v/>
      </c>
      <c r="B1493">
        <f>IF(A1493="","",LOOKUP(A1493,Basiszins!$A$5:$A$18,Basiszins!$B$5:$B$18))</f>
        <v/>
      </c>
      <c r="C1493">
        <f>IF(A1493="","",B1493+Rechner!$E$7)</f>
        <v/>
      </c>
      <c r="D1493">
        <f>J1492</f>
        <v/>
      </c>
      <c r="E1493">
        <f>IF(A1493="",0,D1493*C1493/100/(DATE(YEAR(A1493)+1,1,1)-DATE(YEAR(A1493),1,1)))</f>
        <v/>
      </c>
      <c r="F1493">
        <f>IF(A1493="",0,SUMIF(Rechner!$A$12:$A$21,A1493,Rechner!$B$12:$B$21))</f>
        <v/>
      </c>
      <c r="G1493">
        <f>H1492+E1493</f>
        <v/>
      </c>
      <c r="H1493">
        <f>G1493-MIN(F1493,G1493)</f>
        <v/>
      </c>
      <c r="I1493">
        <f>MIN(F1493-MIN(F1493,G1493),D1493)</f>
        <v/>
      </c>
      <c r="J1493">
        <f>D1493-I1493</f>
        <v/>
      </c>
      <c r="K1493">
        <f>F1493-MIN(F1493,G1493)-I1493</f>
        <v/>
      </c>
    </row>
    <row r="1494">
      <c r="A1494" s="21">
        <f>IF(Rechner!$E$4&lt;&gt;"ok","",IF(Rechner!$E$5+1492&lt;=Rechner!$B$6,Rechner!$E$5+1492,""))</f>
        <v/>
      </c>
      <c r="B1494">
        <f>IF(A1494="","",LOOKUP(A1494,Basiszins!$A$5:$A$18,Basiszins!$B$5:$B$18))</f>
        <v/>
      </c>
      <c r="C1494">
        <f>IF(A1494="","",B1494+Rechner!$E$7)</f>
        <v/>
      </c>
      <c r="D1494">
        <f>J1493</f>
        <v/>
      </c>
      <c r="E1494">
        <f>IF(A1494="",0,D1494*C1494/100/(DATE(YEAR(A1494)+1,1,1)-DATE(YEAR(A1494),1,1)))</f>
        <v/>
      </c>
      <c r="F1494">
        <f>IF(A1494="",0,SUMIF(Rechner!$A$12:$A$21,A1494,Rechner!$B$12:$B$21))</f>
        <v/>
      </c>
      <c r="G1494">
        <f>H1493+E1494</f>
        <v/>
      </c>
      <c r="H1494">
        <f>G1494-MIN(F1494,G1494)</f>
        <v/>
      </c>
      <c r="I1494">
        <f>MIN(F1494-MIN(F1494,G1494),D1494)</f>
        <v/>
      </c>
      <c r="J1494">
        <f>D1494-I1494</f>
        <v/>
      </c>
      <c r="K1494">
        <f>F1494-MIN(F1494,G1494)-I1494</f>
        <v/>
      </c>
    </row>
    <row r="1495">
      <c r="A1495" s="21">
        <f>IF(Rechner!$E$4&lt;&gt;"ok","",IF(Rechner!$E$5+1493&lt;=Rechner!$B$6,Rechner!$E$5+1493,""))</f>
        <v/>
      </c>
      <c r="B1495">
        <f>IF(A1495="","",LOOKUP(A1495,Basiszins!$A$5:$A$18,Basiszins!$B$5:$B$18))</f>
        <v/>
      </c>
      <c r="C1495">
        <f>IF(A1495="","",B1495+Rechner!$E$7)</f>
        <v/>
      </c>
      <c r="D1495">
        <f>J1494</f>
        <v/>
      </c>
      <c r="E1495">
        <f>IF(A1495="",0,D1495*C1495/100/(DATE(YEAR(A1495)+1,1,1)-DATE(YEAR(A1495),1,1)))</f>
        <v/>
      </c>
      <c r="F1495">
        <f>IF(A1495="",0,SUMIF(Rechner!$A$12:$A$21,A1495,Rechner!$B$12:$B$21))</f>
        <v/>
      </c>
      <c r="G1495">
        <f>H1494+E1495</f>
        <v/>
      </c>
      <c r="H1495">
        <f>G1495-MIN(F1495,G1495)</f>
        <v/>
      </c>
      <c r="I1495">
        <f>MIN(F1495-MIN(F1495,G1495),D1495)</f>
        <v/>
      </c>
      <c r="J1495">
        <f>D1495-I1495</f>
        <v/>
      </c>
      <c r="K1495">
        <f>F1495-MIN(F1495,G1495)-I1495</f>
        <v/>
      </c>
    </row>
    <row r="1496">
      <c r="A1496" s="21">
        <f>IF(Rechner!$E$4&lt;&gt;"ok","",IF(Rechner!$E$5+1494&lt;=Rechner!$B$6,Rechner!$E$5+1494,""))</f>
        <v/>
      </c>
      <c r="B1496">
        <f>IF(A1496="","",LOOKUP(A1496,Basiszins!$A$5:$A$18,Basiszins!$B$5:$B$18))</f>
        <v/>
      </c>
      <c r="C1496">
        <f>IF(A1496="","",B1496+Rechner!$E$7)</f>
        <v/>
      </c>
      <c r="D1496">
        <f>J1495</f>
        <v/>
      </c>
      <c r="E1496">
        <f>IF(A1496="",0,D1496*C1496/100/(DATE(YEAR(A1496)+1,1,1)-DATE(YEAR(A1496),1,1)))</f>
        <v/>
      </c>
      <c r="F1496">
        <f>IF(A1496="",0,SUMIF(Rechner!$A$12:$A$21,A1496,Rechner!$B$12:$B$21))</f>
        <v/>
      </c>
      <c r="G1496">
        <f>H1495+E1496</f>
        <v/>
      </c>
      <c r="H1496">
        <f>G1496-MIN(F1496,G1496)</f>
        <v/>
      </c>
      <c r="I1496">
        <f>MIN(F1496-MIN(F1496,G1496),D1496)</f>
        <v/>
      </c>
      <c r="J1496">
        <f>D1496-I1496</f>
        <v/>
      </c>
      <c r="K1496">
        <f>F1496-MIN(F1496,G1496)-I1496</f>
        <v/>
      </c>
    </row>
    <row r="1497">
      <c r="A1497" s="21">
        <f>IF(Rechner!$E$4&lt;&gt;"ok","",IF(Rechner!$E$5+1495&lt;=Rechner!$B$6,Rechner!$E$5+1495,""))</f>
        <v/>
      </c>
      <c r="B1497">
        <f>IF(A1497="","",LOOKUP(A1497,Basiszins!$A$5:$A$18,Basiszins!$B$5:$B$18))</f>
        <v/>
      </c>
      <c r="C1497">
        <f>IF(A1497="","",B1497+Rechner!$E$7)</f>
        <v/>
      </c>
      <c r="D1497">
        <f>J1496</f>
        <v/>
      </c>
      <c r="E1497">
        <f>IF(A1497="",0,D1497*C1497/100/(DATE(YEAR(A1497)+1,1,1)-DATE(YEAR(A1497),1,1)))</f>
        <v/>
      </c>
      <c r="F1497">
        <f>IF(A1497="",0,SUMIF(Rechner!$A$12:$A$21,A1497,Rechner!$B$12:$B$21))</f>
        <v/>
      </c>
      <c r="G1497">
        <f>H1496+E1497</f>
        <v/>
      </c>
      <c r="H1497">
        <f>G1497-MIN(F1497,G1497)</f>
        <v/>
      </c>
      <c r="I1497">
        <f>MIN(F1497-MIN(F1497,G1497),D1497)</f>
        <v/>
      </c>
      <c r="J1497">
        <f>D1497-I1497</f>
        <v/>
      </c>
      <c r="K1497">
        <f>F1497-MIN(F1497,G1497)-I1497</f>
        <v/>
      </c>
    </row>
    <row r="1498">
      <c r="A1498" s="21">
        <f>IF(Rechner!$E$4&lt;&gt;"ok","",IF(Rechner!$E$5+1496&lt;=Rechner!$B$6,Rechner!$E$5+1496,""))</f>
        <v/>
      </c>
      <c r="B1498">
        <f>IF(A1498="","",LOOKUP(A1498,Basiszins!$A$5:$A$18,Basiszins!$B$5:$B$18))</f>
        <v/>
      </c>
      <c r="C1498">
        <f>IF(A1498="","",B1498+Rechner!$E$7)</f>
        <v/>
      </c>
      <c r="D1498">
        <f>J1497</f>
        <v/>
      </c>
      <c r="E1498">
        <f>IF(A1498="",0,D1498*C1498/100/(DATE(YEAR(A1498)+1,1,1)-DATE(YEAR(A1498),1,1)))</f>
        <v/>
      </c>
      <c r="F1498">
        <f>IF(A1498="",0,SUMIF(Rechner!$A$12:$A$21,A1498,Rechner!$B$12:$B$21))</f>
        <v/>
      </c>
      <c r="G1498">
        <f>H1497+E1498</f>
        <v/>
      </c>
      <c r="H1498">
        <f>G1498-MIN(F1498,G1498)</f>
        <v/>
      </c>
      <c r="I1498">
        <f>MIN(F1498-MIN(F1498,G1498),D1498)</f>
        <v/>
      </c>
      <c r="J1498">
        <f>D1498-I1498</f>
        <v/>
      </c>
      <c r="K1498">
        <f>F1498-MIN(F1498,G1498)-I1498</f>
        <v/>
      </c>
    </row>
    <row r="1499">
      <c r="A1499" s="21">
        <f>IF(Rechner!$E$4&lt;&gt;"ok","",IF(Rechner!$E$5+1497&lt;=Rechner!$B$6,Rechner!$E$5+1497,""))</f>
        <v/>
      </c>
      <c r="B1499">
        <f>IF(A1499="","",LOOKUP(A1499,Basiszins!$A$5:$A$18,Basiszins!$B$5:$B$18))</f>
        <v/>
      </c>
      <c r="C1499">
        <f>IF(A1499="","",B1499+Rechner!$E$7)</f>
        <v/>
      </c>
      <c r="D1499">
        <f>J1498</f>
        <v/>
      </c>
      <c r="E1499">
        <f>IF(A1499="",0,D1499*C1499/100/(DATE(YEAR(A1499)+1,1,1)-DATE(YEAR(A1499),1,1)))</f>
        <v/>
      </c>
      <c r="F1499">
        <f>IF(A1499="",0,SUMIF(Rechner!$A$12:$A$21,A1499,Rechner!$B$12:$B$21))</f>
        <v/>
      </c>
      <c r="G1499">
        <f>H1498+E1499</f>
        <v/>
      </c>
      <c r="H1499">
        <f>G1499-MIN(F1499,G1499)</f>
        <v/>
      </c>
      <c r="I1499">
        <f>MIN(F1499-MIN(F1499,G1499),D1499)</f>
        <v/>
      </c>
      <c r="J1499">
        <f>D1499-I1499</f>
        <v/>
      </c>
      <c r="K1499">
        <f>F1499-MIN(F1499,G1499)-I1499</f>
        <v/>
      </c>
    </row>
    <row r="1500">
      <c r="A1500" s="21">
        <f>IF(Rechner!$E$4&lt;&gt;"ok","",IF(Rechner!$E$5+1498&lt;=Rechner!$B$6,Rechner!$E$5+1498,""))</f>
        <v/>
      </c>
      <c r="B1500">
        <f>IF(A1500="","",LOOKUP(A1500,Basiszins!$A$5:$A$18,Basiszins!$B$5:$B$18))</f>
        <v/>
      </c>
      <c r="C1500">
        <f>IF(A1500="","",B1500+Rechner!$E$7)</f>
        <v/>
      </c>
      <c r="D1500">
        <f>J1499</f>
        <v/>
      </c>
      <c r="E1500">
        <f>IF(A1500="",0,D1500*C1500/100/(DATE(YEAR(A1500)+1,1,1)-DATE(YEAR(A1500),1,1)))</f>
        <v/>
      </c>
      <c r="F1500">
        <f>IF(A1500="",0,SUMIF(Rechner!$A$12:$A$21,A1500,Rechner!$B$12:$B$21))</f>
        <v/>
      </c>
      <c r="G1500">
        <f>H1499+E1500</f>
        <v/>
      </c>
      <c r="H1500">
        <f>G1500-MIN(F1500,G1500)</f>
        <v/>
      </c>
      <c r="I1500">
        <f>MIN(F1500-MIN(F1500,G1500),D1500)</f>
        <v/>
      </c>
      <c r="J1500">
        <f>D1500-I1500</f>
        <v/>
      </c>
      <c r="K1500">
        <f>F1500-MIN(F1500,G1500)-I1500</f>
        <v/>
      </c>
    </row>
    <row r="1501">
      <c r="A1501" s="21">
        <f>IF(Rechner!$E$4&lt;&gt;"ok","",IF(Rechner!$E$5+1499&lt;=Rechner!$B$6,Rechner!$E$5+1499,""))</f>
        <v/>
      </c>
      <c r="B1501">
        <f>IF(A1501="","",LOOKUP(A1501,Basiszins!$A$5:$A$18,Basiszins!$B$5:$B$18))</f>
        <v/>
      </c>
      <c r="C1501">
        <f>IF(A1501="","",B1501+Rechner!$E$7)</f>
        <v/>
      </c>
      <c r="D1501">
        <f>J1500</f>
        <v/>
      </c>
      <c r="E1501">
        <f>IF(A1501="",0,D1501*C1501/100/(DATE(YEAR(A1501)+1,1,1)-DATE(YEAR(A1501),1,1)))</f>
        <v/>
      </c>
      <c r="F1501">
        <f>IF(A1501="",0,SUMIF(Rechner!$A$12:$A$21,A1501,Rechner!$B$12:$B$21))</f>
        <v/>
      </c>
      <c r="G1501">
        <f>H1500+E1501</f>
        <v/>
      </c>
      <c r="H1501">
        <f>G1501-MIN(F1501,G1501)</f>
        <v/>
      </c>
      <c r="I1501">
        <f>MIN(F1501-MIN(F1501,G1501),D1501)</f>
        <v/>
      </c>
      <c r="J1501">
        <f>D1501-I1501</f>
        <v/>
      </c>
      <c r="K1501">
        <f>F1501-MIN(F1501,G1501)-I1501</f>
        <v/>
      </c>
    </row>
    <row r="1502">
      <c r="A1502" s="21">
        <f>IF(Rechner!$E$4&lt;&gt;"ok","",IF(Rechner!$E$5+1500&lt;=Rechner!$B$6,Rechner!$E$5+1500,""))</f>
        <v/>
      </c>
      <c r="B1502">
        <f>IF(A1502="","",LOOKUP(A1502,Basiszins!$A$5:$A$18,Basiszins!$B$5:$B$18))</f>
        <v/>
      </c>
      <c r="C1502">
        <f>IF(A1502="","",B1502+Rechner!$E$7)</f>
        <v/>
      </c>
      <c r="D1502">
        <f>J1501</f>
        <v/>
      </c>
      <c r="E1502">
        <f>IF(A1502="",0,D1502*C1502/100/(DATE(YEAR(A1502)+1,1,1)-DATE(YEAR(A1502),1,1)))</f>
        <v/>
      </c>
      <c r="F1502">
        <f>IF(A1502="",0,SUMIF(Rechner!$A$12:$A$21,A1502,Rechner!$B$12:$B$21))</f>
        <v/>
      </c>
      <c r="G1502">
        <f>H1501+E1502</f>
        <v/>
      </c>
      <c r="H1502">
        <f>G1502-MIN(F1502,G1502)</f>
        <v/>
      </c>
      <c r="I1502">
        <f>MIN(F1502-MIN(F1502,G1502),D1502)</f>
        <v/>
      </c>
      <c r="J1502">
        <f>D1502-I1502</f>
        <v/>
      </c>
      <c r="K1502">
        <f>F1502-MIN(F1502,G1502)-I1502</f>
        <v/>
      </c>
    </row>
    <row r="1503">
      <c r="A1503" s="21">
        <f>IF(Rechner!$E$4&lt;&gt;"ok","",IF(Rechner!$E$5+1501&lt;=Rechner!$B$6,Rechner!$E$5+1501,""))</f>
        <v/>
      </c>
      <c r="B1503">
        <f>IF(A1503="","",LOOKUP(A1503,Basiszins!$A$5:$A$18,Basiszins!$B$5:$B$18))</f>
        <v/>
      </c>
      <c r="C1503">
        <f>IF(A1503="","",B1503+Rechner!$E$7)</f>
        <v/>
      </c>
      <c r="D1503">
        <f>J1502</f>
        <v/>
      </c>
      <c r="E1503">
        <f>IF(A1503="",0,D1503*C1503/100/(DATE(YEAR(A1503)+1,1,1)-DATE(YEAR(A1503),1,1)))</f>
        <v/>
      </c>
      <c r="F1503">
        <f>IF(A1503="",0,SUMIF(Rechner!$A$12:$A$21,A1503,Rechner!$B$12:$B$21))</f>
        <v/>
      </c>
      <c r="G1503">
        <f>H1502+E1503</f>
        <v/>
      </c>
      <c r="H1503">
        <f>G1503-MIN(F1503,G1503)</f>
        <v/>
      </c>
      <c r="I1503">
        <f>MIN(F1503-MIN(F1503,G1503),D1503)</f>
        <v/>
      </c>
      <c r="J1503">
        <f>D1503-I1503</f>
        <v/>
      </c>
      <c r="K1503">
        <f>F1503-MIN(F1503,G1503)-I1503</f>
        <v/>
      </c>
    </row>
    <row r="1504">
      <c r="A1504" s="21">
        <f>IF(Rechner!$E$4&lt;&gt;"ok","",IF(Rechner!$E$5+1502&lt;=Rechner!$B$6,Rechner!$E$5+1502,""))</f>
        <v/>
      </c>
      <c r="B1504">
        <f>IF(A1504="","",LOOKUP(A1504,Basiszins!$A$5:$A$18,Basiszins!$B$5:$B$18))</f>
        <v/>
      </c>
      <c r="C1504">
        <f>IF(A1504="","",B1504+Rechner!$E$7)</f>
        <v/>
      </c>
      <c r="D1504">
        <f>J1503</f>
        <v/>
      </c>
      <c r="E1504">
        <f>IF(A1504="",0,D1504*C1504/100/(DATE(YEAR(A1504)+1,1,1)-DATE(YEAR(A1504),1,1)))</f>
        <v/>
      </c>
      <c r="F1504">
        <f>IF(A1504="",0,SUMIF(Rechner!$A$12:$A$21,A1504,Rechner!$B$12:$B$21))</f>
        <v/>
      </c>
      <c r="G1504">
        <f>H1503+E1504</f>
        <v/>
      </c>
      <c r="H1504">
        <f>G1504-MIN(F1504,G1504)</f>
        <v/>
      </c>
      <c r="I1504">
        <f>MIN(F1504-MIN(F1504,G1504),D1504)</f>
        <v/>
      </c>
      <c r="J1504">
        <f>D1504-I1504</f>
        <v/>
      </c>
      <c r="K1504">
        <f>F1504-MIN(F1504,G1504)-I1504</f>
        <v/>
      </c>
    </row>
    <row r="1505">
      <c r="A1505" s="21">
        <f>IF(Rechner!$E$4&lt;&gt;"ok","",IF(Rechner!$E$5+1503&lt;=Rechner!$B$6,Rechner!$E$5+1503,""))</f>
        <v/>
      </c>
      <c r="B1505">
        <f>IF(A1505="","",LOOKUP(A1505,Basiszins!$A$5:$A$18,Basiszins!$B$5:$B$18))</f>
        <v/>
      </c>
      <c r="C1505">
        <f>IF(A1505="","",B1505+Rechner!$E$7)</f>
        <v/>
      </c>
      <c r="D1505">
        <f>J1504</f>
        <v/>
      </c>
      <c r="E1505">
        <f>IF(A1505="",0,D1505*C1505/100/(DATE(YEAR(A1505)+1,1,1)-DATE(YEAR(A1505),1,1)))</f>
        <v/>
      </c>
      <c r="F1505">
        <f>IF(A1505="",0,SUMIF(Rechner!$A$12:$A$21,A1505,Rechner!$B$12:$B$21))</f>
        <v/>
      </c>
      <c r="G1505">
        <f>H1504+E1505</f>
        <v/>
      </c>
      <c r="H1505">
        <f>G1505-MIN(F1505,G1505)</f>
        <v/>
      </c>
      <c r="I1505">
        <f>MIN(F1505-MIN(F1505,G1505),D1505)</f>
        <v/>
      </c>
      <c r="J1505">
        <f>D1505-I1505</f>
        <v/>
      </c>
      <c r="K1505">
        <f>F1505-MIN(F1505,G1505)-I1505</f>
        <v/>
      </c>
    </row>
    <row r="1506">
      <c r="A1506" s="21">
        <f>IF(Rechner!$E$4&lt;&gt;"ok","",IF(Rechner!$E$5+1504&lt;=Rechner!$B$6,Rechner!$E$5+1504,""))</f>
        <v/>
      </c>
      <c r="B1506">
        <f>IF(A1506="","",LOOKUP(A1506,Basiszins!$A$5:$A$18,Basiszins!$B$5:$B$18))</f>
        <v/>
      </c>
      <c r="C1506">
        <f>IF(A1506="","",B1506+Rechner!$E$7)</f>
        <v/>
      </c>
      <c r="D1506">
        <f>J1505</f>
        <v/>
      </c>
      <c r="E1506">
        <f>IF(A1506="",0,D1506*C1506/100/(DATE(YEAR(A1506)+1,1,1)-DATE(YEAR(A1506),1,1)))</f>
        <v/>
      </c>
      <c r="F1506">
        <f>IF(A1506="",0,SUMIF(Rechner!$A$12:$A$21,A1506,Rechner!$B$12:$B$21))</f>
        <v/>
      </c>
      <c r="G1506">
        <f>H1505+E1506</f>
        <v/>
      </c>
      <c r="H1506">
        <f>G1506-MIN(F1506,G1506)</f>
        <v/>
      </c>
      <c r="I1506">
        <f>MIN(F1506-MIN(F1506,G1506),D1506)</f>
        <v/>
      </c>
      <c r="J1506">
        <f>D1506-I1506</f>
        <v/>
      </c>
      <c r="K1506">
        <f>F1506-MIN(F1506,G1506)-I1506</f>
        <v/>
      </c>
    </row>
    <row r="1507">
      <c r="A1507" s="21">
        <f>IF(Rechner!$E$4&lt;&gt;"ok","",IF(Rechner!$E$5+1505&lt;=Rechner!$B$6,Rechner!$E$5+1505,""))</f>
        <v/>
      </c>
      <c r="B1507">
        <f>IF(A1507="","",LOOKUP(A1507,Basiszins!$A$5:$A$18,Basiszins!$B$5:$B$18))</f>
        <v/>
      </c>
      <c r="C1507">
        <f>IF(A1507="","",B1507+Rechner!$E$7)</f>
        <v/>
      </c>
      <c r="D1507">
        <f>J1506</f>
        <v/>
      </c>
      <c r="E1507">
        <f>IF(A1507="",0,D1507*C1507/100/(DATE(YEAR(A1507)+1,1,1)-DATE(YEAR(A1507),1,1)))</f>
        <v/>
      </c>
      <c r="F1507">
        <f>IF(A1507="",0,SUMIF(Rechner!$A$12:$A$21,A1507,Rechner!$B$12:$B$21))</f>
        <v/>
      </c>
      <c r="G1507">
        <f>H1506+E1507</f>
        <v/>
      </c>
      <c r="H1507">
        <f>G1507-MIN(F1507,G1507)</f>
        <v/>
      </c>
      <c r="I1507">
        <f>MIN(F1507-MIN(F1507,G1507),D1507)</f>
        <v/>
      </c>
      <c r="J1507">
        <f>D1507-I1507</f>
        <v/>
      </c>
      <c r="K1507">
        <f>F1507-MIN(F1507,G1507)-I1507</f>
        <v/>
      </c>
    </row>
    <row r="1508">
      <c r="A1508" s="21">
        <f>IF(Rechner!$E$4&lt;&gt;"ok","",IF(Rechner!$E$5+1506&lt;=Rechner!$B$6,Rechner!$E$5+1506,""))</f>
        <v/>
      </c>
      <c r="B1508">
        <f>IF(A1508="","",LOOKUP(A1508,Basiszins!$A$5:$A$18,Basiszins!$B$5:$B$18))</f>
        <v/>
      </c>
      <c r="C1508">
        <f>IF(A1508="","",B1508+Rechner!$E$7)</f>
        <v/>
      </c>
      <c r="D1508">
        <f>J1507</f>
        <v/>
      </c>
      <c r="E1508">
        <f>IF(A1508="",0,D1508*C1508/100/(DATE(YEAR(A1508)+1,1,1)-DATE(YEAR(A1508),1,1)))</f>
        <v/>
      </c>
      <c r="F1508">
        <f>IF(A1508="",0,SUMIF(Rechner!$A$12:$A$21,A1508,Rechner!$B$12:$B$21))</f>
        <v/>
      </c>
      <c r="G1508">
        <f>H1507+E1508</f>
        <v/>
      </c>
      <c r="H1508">
        <f>G1508-MIN(F1508,G1508)</f>
        <v/>
      </c>
      <c r="I1508">
        <f>MIN(F1508-MIN(F1508,G1508),D1508)</f>
        <v/>
      </c>
      <c r="J1508">
        <f>D1508-I1508</f>
        <v/>
      </c>
      <c r="K1508">
        <f>F1508-MIN(F1508,G1508)-I1508</f>
        <v/>
      </c>
    </row>
    <row r="1509">
      <c r="A1509" s="21">
        <f>IF(Rechner!$E$4&lt;&gt;"ok","",IF(Rechner!$E$5+1507&lt;=Rechner!$B$6,Rechner!$E$5+1507,""))</f>
        <v/>
      </c>
      <c r="B1509">
        <f>IF(A1509="","",LOOKUP(A1509,Basiszins!$A$5:$A$18,Basiszins!$B$5:$B$18))</f>
        <v/>
      </c>
      <c r="C1509">
        <f>IF(A1509="","",B1509+Rechner!$E$7)</f>
        <v/>
      </c>
      <c r="D1509">
        <f>J1508</f>
        <v/>
      </c>
      <c r="E1509">
        <f>IF(A1509="",0,D1509*C1509/100/(DATE(YEAR(A1509)+1,1,1)-DATE(YEAR(A1509),1,1)))</f>
        <v/>
      </c>
      <c r="F1509">
        <f>IF(A1509="",0,SUMIF(Rechner!$A$12:$A$21,A1509,Rechner!$B$12:$B$21))</f>
        <v/>
      </c>
      <c r="G1509">
        <f>H1508+E1509</f>
        <v/>
      </c>
      <c r="H1509">
        <f>G1509-MIN(F1509,G1509)</f>
        <v/>
      </c>
      <c r="I1509">
        <f>MIN(F1509-MIN(F1509,G1509),D1509)</f>
        <v/>
      </c>
      <c r="J1509">
        <f>D1509-I1509</f>
        <v/>
      </c>
      <c r="K1509">
        <f>F1509-MIN(F1509,G1509)-I1509</f>
        <v/>
      </c>
    </row>
    <row r="1510">
      <c r="A1510" s="21">
        <f>IF(Rechner!$E$4&lt;&gt;"ok","",IF(Rechner!$E$5+1508&lt;=Rechner!$B$6,Rechner!$E$5+1508,""))</f>
        <v/>
      </c>
      <c r="B1510">
        <f>IF(A1510="","",LOOKUP(A1510,Basiszins!$A$5:$A$18,Basiszins!$B$5:$B$18))</f>
        <v/>
      </c>
      <c r="C1510">
        <f>IF(A1510="","",B1510+Rechner!$E$7)</f>
        <v/>
      </c>
      <c r="D1510">
        <f>J1509</f>
        <v/>
      </c>
      <c r="E1510">
        <f>IF(A1510="",0,D1510*C1510/100/(DATE(YEAR(A1510)+1,1,1)-DATE(YEAR(A1510),1,1)))</f>
        <v/>
      </c>
      <c r="F1510">
        <f>IF(A1510="",0,SUMIF(Rechner!$A$12:$A$21,A1510,Rechner!$B$12:$B$21))</f>
        <v/>
      </c>
      <c r="G1510">
        <f>H1509+E1510</f>
        <v/>
      </c>
      <c r="H1510">
        <f>G1510-MIN(F1510,G1510)</f>
        <v/>
      </c>
      <c r="I1510">
        <f>MIN(F1510-MIN(F1510,G1510),D1510)</f>
        <v/>
      </c>
      <c r="J1510">
        <f>D1510-I1510</f>
        <v/>
      </c>
      <c r="K1510">
        <f>F1510-MIN(F1510,G1510)-I1510</f>
        <v/>
      </c>
    </row>
    <row r="1511">
      <c r="A1511" s="21">
        <f>IF(Rechner!$E$4&lt;&gt;"ok","",IF(Rechner!$E$5+1509&lt;=Rechner!$B$6,Rechner!$E$5+1509,""))</f>
        <v/>
      </c>
      <c r="B1511">
        <f>IF(A1511="","",LOOKUP(A1511,Basiszins!$A$5:$A$18,Basiszins!$B$5:$B$18))</f>
        <v/>
      </c>
      <c r="C1511">
        <f>IF(A1511="","",B1511+Rechner!$E$7)</f>
        <v/>
      </c>
      <c r="D1511">
        <f>J1510</f>
        <v/>
      </c>
      <c r="E1511">
        <f>IF(A1511="",0,D1511*C1511/100/(DATE(YEAR(A1511)+1,1,1)-DATE(YEAR(A1511),1,1)))</f>
        <v/>
      </c>
      <c r="F1511">
        <f>IF(A1511="",0,SUMIF(Rechner!$A$12:$A$21,A1511,Rechner!$B$12:$B$21))</f>
        <v/>
      </c>
      <c r="G1511">
        <f>H1510+E1511</f>
        <v/>
      </c>
      <c r="H1511">
        <f>G1511-MIN(F1511,G1511)</f>
        <v/>
      </c>
      <c r="I1511">
        <f>MIN(F1511-MIN(F1511,G1511),D1511)</f>
        <v/>
      </c>
      <c r="J1511">
        <f>D1511-I1511</f>
        <v/>
      </c>
      <c r="K1511">
        <f>F1511-MIN(F1511,G1511)-I1511</f>
        <v/>
      </c>
    </row>
    <row r="1512">
      <c r="A1512" s="21">
        <f>IF(Rechner!$E$4&lt;&gt;"ok","",IF(Rechner!$E$5+1510&lt;=Rechner!$B$6,Rechner!$E$5+1510,""))</f>
        <v/>
      </c>
      <c r="B1512">
        <f>IF(A1512="","",LOOKUP(A1512,Basiszins!$A$5:$A$18,Basiszins!$B$5:$B$18))</f>
        <v/>
      </c>
      <c r="C1512">
        <f>IF(A1512="","",B1512+Rechner!$E$7)</f>
        <v/>
      </c>
      <c r="D1512">
        <f>J1511</f>
        <v/>
      </c>
      <c r="E1512">
        <f>IF(A1512="",0,D1512*C1512/100/(DATE(YEAR(A1512)+1,1,1)-DATE(YEAR(A1512),1,1)))</f>
        <v/>
      </c>
      <c r="F1512">
        <f>IF(A1512="",0,SUMIF(Rechner!$A$12:$A$21,A1512,Rechner!$B$12:$B$21))</f>
        <v/>
      </c>
      <c r="G1512">
        <f>H1511+E1512</f>
        <v/>
      </c>
      <c r="H1512">
        <f>G1512-MIN(F1512,G1512)</f>
        <v/>
      </c>
      <c r="I1512">
        <f>MIN(F1512-MIN(F1512,G1512),D1512)</f>
        <v/>
      </c>
      <c r="J1512">
        <f>D1512-I1512</f>
        <v/>
      </c>
      <c r="K1512">
        <f>F1512-MIN(F1512,G1512)-I1512</f>
        <v/>
      </c>
    </row>
    <row r="1513">
      <c r="A1513" s="21">
        <f>IF(Rechner!$E$4&lt;&gt;"ok","",IF(Rechner!$E$5+1511&lt;=Rechner!$B$6,Rechner!$E$5+1511,""))</f>
        <v/>
      </c>
      <c r="B1513">
        <f>IF(A1513="","",LOOKUP(A1513,Basiszins!$A$5:$A$18,Basiszins!$B$5:$B$18))</f>
        <v/>
      </c>
      <c r="C1513">
        <f>IF(A1513="","",B1513+Rechner!$E$7)</f>
        <v/>
      </c>
      <c r="D1513">
        <f>J1512</f>
        <v/>
      </c>
      <c r="E1513">
        <f>IF(A1513="",0,D1513*C1513/100/(DATE(YEAR(A1513)+1,1,1)-DATE(YEAR(A1513),1,1)))</f>
        <v/>
      </c>
      <c r="F1513">
        <f>IF(A1513="",0,SUMIF(Rechner!$A$12:$A$21,A1513,Rechner!$B$12:$B$21))</f>
        <v/>
      </c>
      <c r="G1513">
        <f>H1512+E1513</f>
        <v/>
      </c>
      <c r="H1513">
        <f>G1513-MIN(F1513,G1513)</f>
        <v/>
      </c>
      <c r="I1513">
        <f>MIN(F1513-MIN(F1513,G1513),D1513)</f>
        <v/>
      </c>
      <c r="J1513">
        <f>D1513-I1513</f>
        <v/>
      </c>
      <c r="K1513">
        <f>F1513-MIN(F1513,G1513)-I1513</f>
        <v/>
      </c>
    </row>
    <row r="1514">
      <c r="A1514" s="21">
        <f>IF(Rechner!$E$4&lt;&gt;"ok","",IF(Rechner!$E$5+1512&lt;=Rechner!$B$6,Rechner!$E$5+1512,""))</f>
        <v/>
      </c>
      <c r="B1514">
        <f>IF(A1514="","",LOOKUP(A1514,Basiszins!$A$5:$A$18,Basiszins!$B$5:$B$18))</f>
        <v/>
      </c>
      <c r="C1514">
        <f>IF(A1514="","",B1514+Rechner!$E$7)</f>
        <v/>
      </c>
      <c r="D1514">
        <f>J1513</f>
        <v/>
      </c>
      <c r="E1514">
        <f>IF(A1514="",0,D1514*C1514/100/(DATE(YEAR(A1514)+1,1,1)-DATE(YEAR(A1514),1,1)))</f>
        <v/>
      </c>
      <c r="F1514">
        <f>IF(A1514="",0,SUMIF(Rechner!$A$12:$A$21,A1514,Rechner!$B$12:$B$21))</f>
        <v/>
      </c>
      <c r="G1514">
        <f>H1513+E1514</f>
        <v/>
      </c>
      <c r="H1514">
        <f>G1514-MIN(F1514,G1514)</f>
        <v/>
      </c>
      <c r="I1514">
        <f>MIN(F1514-MIN(F1514,G1514),D1514)</f>
        <v/>
      </c>
      <c r="J1514">
        <f>D1514-I1514</f>
        <v/>
      </c>
      <c r="K1514">
        <f>F1514-MIN(F1514,G1514)-I1514</f>
        <v/>
      </c>
    </row>
    <row r="1515">
      <c r="A1515" s="21">
        <f>IF(Rechner!$E$4&lt;&gt;"ok","",IF(Rechner!$E$5+1513&lt;=Rechner!$B$6,Rechner!$E$5+1513,""))</f>
        <v/>
      </c>
      <c r="B1515">
        <f>IF(A1515="","",LOOKUP(A1515,Basiszins!$A$5:$A$18,Basiszins!$B$5:$B$18))</f>
        <v/>
      </c>
      <c r="C1515">
        <f>IF(A1515="","",B1515+Rechner!$E$7)</f>
        <v/>
      </c>
      <c r="D1515">
        <f>J1514</f>
        <v/>
      </c>
      <c r="E1515">
        <f>IF(A1515="",0,D1515*C1515/100/(DATE(YEAR(A1515)+1,1,1)-DATE(YEAR(A1515),1,1)))</f>
        <v/>
      </c>
      <c r="F1515">
        <f>IF(A1515="",0,SUMIF(Rechner!$A$12:$A$21,A1515,Rechner!$B$12:$B$21))</f>
        <v/>
      </c>
      <c r="G1515">
        <f>H1514+E1515</f>
        <v/>
      </c>
      <c r="H1515">
        <f>G1515-MIN(F1515,G1515)</f>
        <v/>
      </c>
      <c r="I1515">
        <f>MIN(F1515-MIN(F1515,G1515),D1515)</f>
        <v/>
      </c>
      <c r="J1515">
        <f>D1515-I1515</f>
        <v/>
      </c>
      <c r="K1515">
        <f>F1515-MIN(F1515,G1515)-I1515</f>
        <v/>
      </c>
    </row>
    <row r="1516">
      <c r="A1516" s="21">
        <f>IF(Rechner!$E$4&lt;&gt;"ok","",IF(Rechner!$E$5+1514&lt;=Rechner!$B$6,Rechner!$E$5+1514,""))</f>
        <v/>
      </c>
      <c r="B1516">
        <f>IF(A1516="","",LOOKUP(A1516,Basiszins!$A$5:$A$18,Basiszins!$B$5:$B$18))</f>
        <v/>
      </c>
      <c r="C1516">
        <f>IF(A1516="","",B1516+Rechner!$E$7)</f>
        <v/>
      </c>
      <c r="D1516">
        <f>J1515</f>
        <v/>
      </c>
      <c r="E1516">
        <f>IF(A1516="",0,D1516*C1516/100/(DATE(YEAR(A1516)+1,1,1)-DATE(YEAR(A1516),1,1)))</f>
        <v/>
      </c>
      <c r="F1516">
        <f>IF(A1516="",0,SUMIF(Rechner!$A$12:$A$21,A1516,Rechner!$B$12:$B$21))</f>
        <v/>
      </c>
      <c r="G1516">
        <f>H1515+E1516</f>
        <v/>
      </c>
      <c r="H1516">
        <f>G1516-MIN(F1516,G1516)</f>
        <v/>
      </c>
      <c r="I1516">
        <f>MIN(F1516-MIN(F1516,G1516),D1516)</f>
        <v/>
      </c>
      <c r="J1516">
        <f>D1516-I1516</f>
        <v/>
      </c>
      <c r="K1516">
        <f>F1516-MIN(F1516,G1516)-I1516</f>
        <v/>
      </c>
    </row>
    <row r="1517">
      <c r="A1517" s="21">
        <f>IF(Rechner!$E$4&lt;&gt;"ok","",IF(Rechner!$E$5+1515&lt;=Rechner!$B$6,Rechner!$E$5+1515,""))</f>
        <v/>
      </c>
      <c r="B1517">
        <f>IF(A1517="","",LOOKUP(A1517,Basiszins!$A$5:$A$18,Basiszins!$B$5:$B$18))</f>
        <v/>
      </c>
      <c r="C1517">
        <f>IF(A1517="","",B1517+Rechner!$E$7)</f>
        <v/>
      </c>
      <c r="D1517">
        <f>J1516</f>
        <v/>
      </c>
      <c r="E1517">
        <f>IF(A1517="",0,D1517*C1517/100/(DATE(YEAR(A1517)+1,1,1)-DATE(YEAR(A1517),1,1)))</f>
        <v/>
      </c>
      <c r="F1517">
        <f>IF(A1517="",0,SUMIF(Rechner!$A$12:$A$21,A1517,Rechner!$B$12:$B$21))</f>
        <v/>
      </c>
      <c r="G1517">
        <f>H1516+E1517</f>
        <v/>
      </c>
      <c r="H1517">
        <f>G1517-MIN(F1517,G1517)</f>
        <v/>
      </c>
      <c r="I1517">
        <f>MIN(F1517-MIN(F1517,G1517),D1517)</f>
        <v/>
      </c>
      <c r="J1517">
        <f>D1517-I1517</f>
        <v/>
      </c>
      <c r="K1517">
        <f>F1517-MIN(F1517,G1517)-I1517</f>
        <v/>
      </c>
    </row>
    <row r="1518">
      <c r="A1518" s="21">
        <f>IF(Rechner!$E$4&lt;&gt;"ok","",IF(Rechner!$E$5+1516&lt;=Rechner!$B$6,Rechner!$E$5+1516,""))</f>
        <v/>
      </c>
      <c r="B1518">
        <f>IF(A1518="","",LOOKUP(A1518,Basiszins!$A$5:$A$18,Basiszins!$B$5:$B$18))</f>
        <v/>
      </c>
      <c r="C1518">
        <f>IF(A1518="","",B1518+Rechner!$E$7)</f>
        <v/>
      </c>
      <c r="D1518">
        <f>J1517</f>
        <v/>
      </c>
      <c r="E1518">
        <f>IF(A1518="",0,D1518*C1518/100/(DATE(YEAR(A1518)+1,1,1)-DATE(YEAR(A1518),1,1)))</f>
        <v/>
      </c>
      <c r="F1518">
        <f>IF(A1518="",0,SUMIF(Rechner!$A$12:$A$21,A1518,Rechner!$B$12:$B$21))</f>
        <v/>
      </c>
      <c r="G1518">
        <f>H1517+E1518</f>
        <v/>
      </c>
      <c r="H1518">
        <f>G1518-MIN(F1518,G1518)</f>
        <v/>
      </c>
      <c r="I1518">
        <f>MIN(F1518-MIN(F1518,G1518),D1518)</f>
        <v/>
      </c>
      <c r="J1518">
        <f>D1518-I1518</f>
        <v/>
      </c>
      <c r="K1518">
        <f>F1518-MIN(F1518,G1518)-I1518</f>
        <v/>
      </c>
    </row>
    <row r="1519">
      <c r="A1519" s="21">
        <f>IF(Rechner!$E$4&lt;&gt;"ok","",IF(Rechner!$E$5+1517&lt;=Rechner!$B$6,Rechner!$E$5+1517,""))</f>
        <v/>
      </c>
      <c r="B1519">
        <f>IF(A1519="","",LOOKUP(A1519,Basiszins!$A$5:$A$18,Basiszins!$B$5:$B$18))</f>
        <v/>
      </c>
      <c r="C1519">
        <f>IF(A1519="","",B1519+Rechner!$E$7)</f>
        <v/>
      </c>
      <c r="D1519">
        <f>J1518</f>
        <v/>
      </c>
      <c r="E1519">
        <f>IF(A1519="",0,D1519*C1519/100/(DATE(YEAR(A1519)+1,1,1)-DATE(YEAR(A1519),1,1)))</f>
        <v/>
      </c>
      <c r="F1519">
        <f>IF(A1519="",0,SUMIF(Rechner!$A$12:$A$21,A1519,Rechner!$B$12:$B$21))</f>
        <v/>
      </c>
      <c r="G1519">
        <f>H1518+E1519</f>
        <v/>
      </c>
      <c r="H1519">
        <f>G1519-MIN(F1519,G1519)</f>
        <v/>
      </c>
      <c r="I1519">
        <f>MIN(F1519-MIN(F1519,G1519),D1519)</f>
        <v/>
      </c>
      <c r="J1519">
        <f>D1519-I1519</f>
        <v/>
      </c>
      <c r="K1519">
        <f>F1519-MIN(F1519,G1519)-I1519</f>
        <v/>
      </c>
    </row>
    <row r="1520">
      <c r="A1520" s="21">
        <f>IF(Rechner!$E$4&lt;&gt;"ok","",IF(Rechner!$E$5+1518&lt;=Rechner!$B$6,Rechner!$E$5+1518,""))</f>
        <v/>
      </c>
      <c r="B1520">
        <f>IF(A1520="","",LOOKUP(A1520,Basiszins!$A$5:$A$18,Basiszins!$B$5:$B$18))</f>
        <v/>
      </c>
      <c r="C1520">
        <f>IF(A1520="","",B1520+Rechner!$E$7)</f>
        <v/>
      </c>
      <c r="D1520">
        <f>J1519</f>
        <v/>
      </c>
      <c r="E1520">
        <f>IF(A1520="",0,D1520*C1520/100/(DATE(YEAR(A1520)+1,1,1)-DATE(YEAR(A1520),1,1)))</f>
        <v/>
      </c>
      <c r="F1520">
        <f>IF(A1520="",0,SUMIF(Rechner!$A$12:$A$21,A1520,Rechner!$B$12:$B$21))</f>
        <v/>
      </c>
      <c r="G1520">
        <f>H1519+E1520</f>
        <v/>
      </c>
      <c r="H1520">
        <f>G1520-MIN(F1520,G1520)</f>
        <v/>
      </c>
      <c r="I1520">
        <f>MIN(F1520-MIN(F1520,G1520),D1520)</f>
        <v/>
      </c>
      <c r="J1520">
        <f>D1520-I1520</f>
        <v/>
      </c>
      <c r="K1520">
        <f>F1520-MIN(F1520,G1520)-I1520</f>
        <v/>
      </c>
    </row>
    <row r="1521">
      <c r="A1521" s="21">
        <f>IF(Rechner!$E$4&lt;&gt;"ok","",IF(Rechner!$E$5+1519&lt;=Rechner!$B$6,Rechner!$E$5+1519,""))</f>
        <v/>
      </c>
      <c r="B1521">
        <f>IF(A1521="","",LOOKUP(A1521,Basiszins!$A$5:$A$18,Basiszins!$B$5:$B$18))</f>
        <v/>
      </c>
      <c r="C1521">
        <f>IF(A1521="","",B1521+Rechner!$E$7)</f>
        <v/>
      </c>
      <c r="D1521">
        <f>J1520</f>
        <v/>
      </c>
      <c r="E1521">
        <f>IF(A1521="",0,D1521*C1521/100/(DATE(YEAR(A1521)+1,1,1)-DATE(YEAR(A1521),1,1)))</f>
        <v/>
      </c>
      <c r="F1521">
        <f>IF(A1521="",0,SUMIF(Rechner!$A$12:$A$21,A1521,Rechner!$B$12:$B$21))</f>
        <v/>
      </c>
      <c r="G1521">
        <f>H1520+E1521</f>
        <v/>
      </c>
      <c r="H1521">
        <f>G1521-MIN(F1521,G1521)</f>
        <v/>
      </c>
      <c r="I1521">
        <f>MIN(F1521-MIN(F1521,G1521),D1521)</f>
        <v/>
      </c>
      <c r="J1521">
        <f>D1521-I1521</f>
        <v/>
      </c>
      <c r="K1521">
        <f>F1521-MIN(F1521,G1521)-I1521</f>
        <v/>
      </c>
    </row>
    <row r="1522">
      <c r="A1522" s="21">
        <f>IF(Rechner!$E$4&lt;&gt;"ok","",IF(Rechner!$E$5+1520&lt;=Rechner!$B$6,Rechner!$E$5+1520,""))</f>
        <v/>
      </c>
      <c r="B1522">
        <f>IF(A1522="","",LOOKUP(A1522,Basiszins!$A$5:$A$18,Basiszins!$B$5:$B$18))</f>
        <v/>
      </c>
      <c r="C1522">
        <f>IF(A1522="","",B1522+Rechner!$E$7)</f>
        <v/>
      </c>
      <c r="D1522">
        <f>J1521</f>
        <v/>
      </c>
      <c r="E1522">
        <f>IF(A1522="",0,D1522*C1522/100/(DATE(YEAR(A1522)+1,1,1)-DATE(YEAR(A1522),1,1)))</f>
        <v/>
      </c>
      <c r="F1522">
        <f>IF(A1522="",0,SUMIF(Rechner!$A$12:$A$21,A1522,Rechner!$B$12:$B$21))</f>
        <v/>
      </c>
      <c r="G1522">
        <f>H1521+E1522</f>
        <v/>
      </c>
      <c r="H1522">
        <f>G1522-MIN(F1522,G1522)</f>
        <v/>
      </c>
      <c r="I1522">
        <f>MIN(F1522-MIN(F1522,G1522),D1522)</f>
        <v/>
      </c>
      <c r="J1522">
        <f>D1522-I1522</f>
        <v/>
      </c>
      <c r="K1522">
        <f>F1522-MIN(F1522,G1522)-I1522</f>
        <v/>
      </c>
    </row>
    <row r="1523">
      <c r="A1523" s="21">
        <f>IF(Rechner!$E$4&lt;&gt;"ok","",IF(Rechner!$E$5+1521&lt;=Rechner!$B$6,Rechner!$E$5+1521,""))</f>
        <v/>
      </c>
      <c r="B1523">
        <f>IF(A1523="","",LOOKUP(A1523,Basiszins!$A$5:$A$18,Basiszins!$B$5:$B$18))</f>
        <v/>
      </c>
      <c r="C1523">
        <f>IF(A1523="","",B1523+Rechner!$E$7)</f>
        <v/>
      </c>
      <c r="D1523">
        <f>J1522</f>
        <v/>
      </c>
      <c r="E1523">
        <f>IF(A1523="",0,D1523*C1523/100/(DATE(YEAR(A1523)+1,1,1)-DATE(YEAR(A1523),1,1)))</f>
        <v/>
      </c>
      <c r="F1523">
        <f>IF(A1523="",0,SUMIF(Rechner!$A$12:$A$21,A1523,Rechner!$B$12:$B$21))</f>
        <v/>
      </c>
      <c r="G1523">
        <f>H1522+E1523</f>
        <v/>
      </c>
      <c r="H1523">
        <f>G1523-MIN(F1523,G1523)</f>
        <v/>
      </c>
      <c r="I1523">
        <f>MIN(F1523-MIN(F1523,G1523),D1523)</f>
        <v/>
      </c>
      <c r="J1523">
        <f>D1523-I1523</f>
        <v/>
      </c>
      <c r="K1523">
        <f>F1523-MIN(F1523,G1523)-I1523</f>
        <v/>
      </c>
    </row>
    <row r="1524">
      <c r="A1524" s="21">
        <f>IF(Rechner!$E$4&lt;&gt;"ok","",IF(Rechner!$E$5+1522&lt;=Rechner!$B$6,Rechner!$E$5+1522,""))</f>
        <v/>
      </c>
      <c r="B1524">
        <f>IF(A1524="","",LOOKUP(A1524,Basiszins!$A$5:$A$18,Basiszins!$B$5:$B$18))</f>
        <v/>
      </c>
      <c r="C1524">
        <f>IF(A1524="","",B1524+Rechner!$E$7)</f>
        <v/>
      </c>
      <c r="D1524">
        <f>J1523</f>
        <v/>
      </c>
      <c r="E1524">
        <f>IF(A1524="",0,D1524*C1524/100/(DATE(YEAR(A1524)+1,1,1)-DATE(YEAR(A1524),1,1)))</f>
        <v/>
      </c>
      <c r="F1524">
        <f>IF(A1524="",0,SUMIF(Rechner!$A$12:$A$21,A1524,Rechner!$B$12:$B$21))</f>
        <v/>
      </c>
      <c r="G1524">
        <f>H1523+E1524</f>
        <v/>
      </c>
      <c r="H1524">
        <f>G1524-MIN(F1524,G1524)</f>
        <v/>
      </c>
      <c r="I1524">
        <f>MIN(F1524-MIN(F1524,G1524),D1524)</f>
        <v/>
      </c>
      <c r="J1524">
        <f>D1524-I1524</f>
        <v/>
      </c>
      <c r="K1524">
        <f>F1524-MIN(F1524,G1524)-I1524</f>
        <v/>
      </c>
    </row>
    <row r="1525">
      <c r="A1525" s="21">
        <f>IF(Rechner!$E$4&lt;&gt;"ok","",IF(Rechner!$E$5+1523&lt;=Rechner!$B$6,Rechner!$E$5+1523,""))</f>
        <v/>
      </c>
      <c r="B1525">
        <f>IF(A1525="","",LOOKUP(A1525,Basiszins!$A$5:$A$18,Basiszins!$B$5:$B$18))</f>
        <v/>
      </c>
      <c r="C1525">
        <f>IF(A1525="","",B1525+Rechner!$E$7)</f>
        <v/>
      </c>
      <c r="D1525">
        <f>J1524</f>
        <v/>
      </c>
      <c r="E1525">
        <f>IF(A1525="",0,D1525*C1525/100/(DATE(YEAR(A1525)+1,1,1)-DATE(YEAR(A1525),1,1)))</f>
        <v/>
      </c>
      <c r="F1525">
        <f>IF(A1525="",0,SUMIF(Rechner!$A$12:$A$21,A1525,Rechner!$B$12:$B$21))</f>
        <v/>
      </c>
      <c r="G1525">
        <f>H1524+E1525</f>
        <v/>
      </c>
      <c r="H1525">
        <f>G1525-MIN(F1525,G1525)</f>
        <v/>
      </c>
      <c r="I1525">
        <f>MIN(F1525-MIN(F1525,G1525),D1525)</f>
        <v/>
      </c>
      <c r="J1525">
        <f>D1525-I1525</f>
        <v/>
      </c>
      <c r="K1525">
        <f>F1525-MIN(F1525,G1525)-I1525</f>
        <v/>
      </c>
    </row>
    <row r="1526">
      <c r="A1526" s="21">
        <f>IF(Rechner!$E$4&lt;&gt;"ok","",IF(Rechner!$E$5+1524&lt;=Rechner!$B$6,Rechner!$E$5+1524,""))</f>
        <v/>
      </c>
      <c r="B1526">
        <f>IF(A1526="","",LOOKUP(A1526,Basiszins!$A$5:$A$18,Basiszins!$B$5:$B$18))</f>
        <v/>
      </c>
      <c r="C1526">
        <f>IF(A1526="","",B1526+Rechner!$E$7)</f>
        <v/>
      </c>
      <c r="D1526">
        <f>J1525</f>
        <v/>
      </c>
      <c r="E1526">
        <f>IF(A1526="",0,D1526*C1526/100/(DATE(YEAR(A1526)+1,1,1)-DATE(YEAR(A1526),1,1)))</f>
        <v/>
      </c>
      <c r="F1526">
        <f>IF(A1526="",0,SUMIF(Rechner!$A$12:$A$21,A1526,Rechner!$B$12:$B$21))</f>
        <v/>
      </c>
      <c r="G1526">
        <f>H1525+E1526</f>
        <v/>
      </c>
      <c r="H1526">
        <f>G1526-MIN(F1526,G1526)</f>
        <v/>
      </c>
      <c r="I1526">
        <f>MIN(F1526-MIN(F1526,G1526),D1526)</f>
        <v/>
      </c>
      <c r="J1526">
        <f>D1526-I1526</f>
        <v/>
      </c>
      <c r="K1526">
        <f>F1526-MIN(F1526,G1526)-I1526</f>
        <v/>
      </c>
    </row>
    <row r="1527">
      <c r="A1527" s="21">
        <f>IF(Rechner!$E$4&lt;&gt;"ok","",IF(Rechner!$E$5+1525&lt;=Rechner!$B$6,Rechner!$E$5+1525,""))</f>
        <v/>
      </c>
      <c r="B1527">
        <f>IF(A1527="","",LOOKUP(A1527,Basiszins!$A$5:$A$18,Basiszins!$B$5:$B$18))</f>
        <v/>
      </c>
      <c r="C1527">
        <f>IF(A1527="","",B1527+Rechner!$E$7)</f>
        <v/>
      </c>
      <c r="D1527">
        <f>J1526</f>
        <v/>
      </c>
      <c r="E1527">
        <f>IF(A1527="",0,D1527*C1527/100/(DATE(YEAR(A1527)+1,1,1)-DATE(YEAR(A1527),1,1)))</f>
        <v/>
      </c>
      <c r="F1527">
        <f>IF(A1527="",0,SUMIF(Rechner!$A$12:$A$21,A1527,Rechner!$B$12:$B$21))</f>
        <v/>
      </c>
      <c r="G1527">
        <f>H1526+E1527</f>
        <v/>
      </c>
      <c r="H1527">
        <f>G1527-MIN(F1527,G1527)</f>
        <v/>
      </c>
      <c r="I1527">
        <f>MIN(F1527-MIN(F1527,G1527),D1527)</f>
        <v/>
      </c>
      <c r="J1527">
        <f>D1527-I1527</f>
        <v/>
      </c>
      <c r="K1527">
        <f>F1527-MIN(F1527,G1527)-I1527</f>
        <v/>
      </c>
    </row>
    <row r="1528">
      <c r="A1528" s="21">
        <f>IF(Rechner!$E$4&lt;&gt;"ok","",IF(Rechner!$E$5+1526&lt;=Rechner!$B$6,Rechner!$E$5+1526,""))</f>
        <v/>
      </c>
      <c r="B1528">
        <f>IF(A1528="","",LOOKUP(A1528,Basiszins!$A$5:$A$18,Basiszins!$B$5:$B$18))</f>
        <v/>
      </c>
      <c r="C1528">
        <f>IF(A1528="","",B1528+Rechner!$E$7)</f>
        <v/>
      </c>
      <c r="D1528">
        <f>J1527</f>
        <v/>
      </c>
      <c r="E1528">
        <f>IF(A1528="",0,D1528*C1528/100/(DATE(YEAR(A1528)+1,1,1)-DATE(YEAR(A1528),1,1)))</f>
        <v/>
      </c>
      <c r="F1528">
        <f>IF(A1528="",0,SUMIF(Rechner!$A$12:$A$21,A1528,Rechner!$B$12:$B$21))</f>
        <v/>
      </c>
      <c r="G1528">
        <f>H1527+E1528</f>
        <v/>
      </c>
      <c r="H1528">
        <f>G1528-MIN(F1528,G1528)</f>
        <v/>
      </c>
      <c r="I1528">
        <f>MIN(F1528-MIN(F1528,G1528),D1528)</f>
        <v/>
      </c>
      <c r="J1528">
        <f>D1528-I1528</f>
        <v/>
      </c>
      <c r="K1528">
        <f>F1528-MIN(F1528,G1528)-I1528</f>
        <v/>
      </c>
    </row>
    <row r="1529">
      <c r="A1529" s="21">
        <f>IF(Rechner!$E$4&lt;&gt;"ok","",IF(Rechner!$E$5+1527&lt;=Rechner!$B$6,Rechner!$E$5+1527,""))</f>
        <v/>
      </c>
      <c r="B1529">
        <f>IF(A1529="","",LOOKUP(A1529,Basiszins!$A$5:$A$18,Basiszins!$B$5:$B$18))</f>
        <v/>
      </c>
      <c r="C1529">
        <f>IF(A1529="","",B1529+Rechner!$E$7)</f>
        <v/>
      </c>
      <c r="D1529">
        <f>J1528</f>
        <v/>
      </c>
      <c r="E1529">
        <f>IF(A1529="",0,D1529*C1529/100/(DATE(YEAR(A1529)+1,1,1)-DATE(YEAR(A1529),1,1)))</f>
        <v/>
      </c>
      <c r="F1529">
        <f>IF(A1529="",0,SUMIF(Rechner!$A$12:$A$21,A1529,Rechner!$B$12:$B$21))</f>
        <v/>
      </c>
      <c r="G1529">
        <f>H1528+E1529</f>
        <v/>
      </c>
      <c r="H1529">
        <f>G1529-MIN(F1529,G1529)</f>
        <v/>
      </c>
      <c r="I1529">
        <f>MIN(F1529-MIN(F1529,G1529),D1529)</f>
        <v/>
      </c>
      <c r="J1529">
        <f>D1529-I1529</f>
        <v/>
      </c>
      <c r="K1529">
        <f>F1529-MIN(F1529,G1529)-I1529</f>
        <v/>
      </c>
    </row>
    <row r="1530">
      <c r="A1530" s="21">
        <f>IF(Rechner!$E$4&lt;&gt;"ok","",IF(Rechner!$E$5+1528&lt;=Rechner!$B$6,Rechner!$E$5+1528,""))</f>
        <v/>
      </c>
      <c r="B1530">
        <f>IF(A1530="","",LOOKUP(A1530,Basiszins!$A$5:$A$18,Basiszins!$B$5:$B$18))</f>
        <v/>
      </c>
      <c r="C1530">
        <f>IF(A1530="","",B1530+Rechner!$E$7)</f>
        <v/>
      </c>
      <c r="D1530">
        <f>J1529</f>
        <v/>
      </c>
      <c r="E1530">
        <f>IF(A1530="",0,D1530*C1530/100/(DATE(YEAR(A1530)+1,1,1)-DATE(YEAR(A1530),1,1)))</f>
        <v/>
      </c>
      <c r="F1530">
        <f>IF(A1530="",0,SUMIF(Rechner!$A$12:$A$21,A1530,Rechner!$B$12:$B$21))</f>
        <v/>
      </c>
      <c r="G1530">
        <f>H1529+E1530</f>
        <v/>
      </c>
      <c r="H1530">
        <f>G1530-MIN(F1530,G1530)</f>
        <v/>
      </c>
      <c r="I1530">
        <f>MIN(F1530-MIN(F1530,G1530),D1530)</f>
        <v/>
      </c>
      <c r="J1530">
        <f>D1530-I1530</f>
        <v/>
      </c>
      <c r="K1530">
        <f>F1530-MIN(F1530,G1530)-I1530</f>
        <v/>
      </c>
    </row>
    <row r="1531">
      <c r="A1531" s="21">
        <f>IF(Rechner!$E$4&lt;&gt;"ok","",IF(Rechner!$E$5+1529&lt;=Rechner!$B$6,Rechner!$E$5+1529,""))</f>
        <v/>
      </c>
      <c r="B1531">
        <f>IF(A1531="","",LOOKUP(A1531,Basiszins!$A$5:$A$18,Basiszins!$B$5:$B$18))</f>
        <v/>
      </c>
      <c r="C1531">
        <f>IF(A1531="","",B1531+Rechner!$E$7)</f>
        <v/>
      </c>
      <c r="D1531">
        <f>J1530</f>
        <v/>
      </c>
      <c r="E1531">
        <f>IF(A1531="",0,D1531*C1531/100/(DATE(YEAR(A1531)+1,1,1)-DATE(YEAR(A1531),1,1)))</f>
        <v/>
      </c>
      <c r="F1531">
        <f>IF(A1531="",0,SUMIF(Rechner!$A$12:$A$21,A1531,Rechner!$B$12:$B$21))</f>
        <v/>
      </c>
      <c r="G1531">
        <f>H1530+E1531</f>
        <v/>
      </c>
      <c r="H1531">
        <f>G1531-MIN(F1531,G1531)</f>
        <v/>
      </c>
      <c r="I1531">
        <f>MIN(F1531-MIN(F1531,G1531),D1531)</f>
        <v/>
      </c>
      <c r="J1531">
        <f>D1531-I1531</f>
        <v/>
      </c>
      <c r="K1531">
        <f>F1531-MIN(F1531,G1531)-I1531</f>
        <v/>
      </c>
    </row>
    <row r="1532">
      <c r="A1532" s="21">
        <f>IF(Rechner!$E$4&lt;&gt;"ok","",IF(Rechner!$E$5+1530&lt;=Rechner!$B$6,Rechner!$E$5+1530,""))</f>
        <v/>
      </c>
      <c r="B1532">
        <f>IF(A1532="","",LOOKUP(A1532,Basiszins!$A$5:$A$18,Basiszins!$B$5:$B$18))</f>
        <v/>
      </c>
      <c r="C1532">
        <f>IF(A1532="","",B1532+Rechner!$E$7)</f>
        <v/>
      </c>
      <c r="D1532">
        <f>J1531</f>
        <v/>
      </c>
      <c r="E1532">
        <f>IF(A1532="",0,D1532*C1532/100/(DATE(YEAR(A1532)+1,1,1)-DATE(YEAR(A1532),1,1)))</f>
        <v/>
      </c>
      <c r="F1532">
        <f>IF(A1532="",0,SUMIF(Rechner!$A$12:$A$21,A1532,Rechner!$B$12:$B$21))</f>
        <v/>
      </c>
      <c r="G1532">
        <f>H1531+E1532</f>
        <v/>
      </c>
      <c r="H1532">
        <f>G1532-MIN(F1532,G1532)</f>
        <v/>
      </c>
      <c r="I1532">
        <f>MIN(F1532-MIN(F1532,G1532),D1532)</f>
        <v/>
      </c>
      <c r="J1532">
        <f>D1532-I1532</f>
        <v/>
      </c>
      <c r="K1532">
        <f>F1532-MIN(F1532,G1532)-I1532</f>
        <v/>
      </c>
    </row>
    <row r="1533">
      <c r="A1533" s="21">
        <f>IF(Rechner!$E$4&lt;&gt;"ok","",IF(Rechner!$E$5+1531&lt;=Rechner!$B$6,Rechner!$E$5+1531,""))</f>
        <v/>
      </c>
      <c r="B1533">
        <f>IF(A1533="","",LOOKUP(A1533,Basiszins!$A$5:$A$18,Basiszins!$B$5:$B$18))</f>
        <v/>
      </c>
      <c r="C1533">
        <f>IF(A1533="","",B1533+Rechner!$E$7)</f>
        <v/>
      </c>
      <c r="D1533">
        <f>J1532</f>
        <v/>
      </c>
      <c r="E1533">
        <f>IF(A1533="",0,D1533*C1533/100/(DATE(YEAR(A1533)+1,1,1)-DATE(YEAR(A1533),1,1)))</f>
        <v/>
      </c>
      <c r="F1533">
        <f>IF(A1533="",0,SUMIF(Rechner!$A$12:$A$21,A1533,Rechner!$B$12:$B$21))</f>
        <v/>
      </c>
      <c r="G1533">
        <f>H1532+E1533</f>
        <v/>
      </c>
      <c r="H1533">
        <f>G1533-MIN(F1533,G1533)</f>
        <v/>
      </c>
      <c r="I1533">
        <f>MIN(F1533-MIN(F1533,G1533),D1533)</f>
        <v/>
      </c>
      <c r="J1533">
        <f>D1533-I1533</f>
        <v/>
      </c>
      <c r="K1533">
        <f>F1533-MIN(F1533,G1533)-I1533</f>
        <v/>
      </c>
    </row>
    <row r="1534">
      <c r="A1534" s="21">
        <f>IF(Rechner!$E$4&lt;&gt;"ok","",IF(Rechner!$E$5+1532&lt;=Rechner!$B$6,Rechner!$E$5+1532,""))</f>
        <v/>
      </c>
      <c r="B1534">
        <f>IF(A1534="","",LOOKUP(A1534,Basiszins!$A$5:$A$18,Basiszins!$B$5:$B$18))</f>
        <v/>
      </c>
      <c r="C1534">
        <f>IF(A1534="","",B1534+Rechner!$E$7)</f>
        <v/>
      </c>
      <c r="D1534">
        <f>J1533</f>
        <v/>
      </c>
      <c r="E1534">
        <f>IF(A1534="",0,D1534*C1534/100/(DATE(YEAR(A1534)+1,1,1)-DATE(YEAR(A1534),1,1)))</f>
        <v/>
      </c>
      <c r="F1534">
        <f>IF(A1534="",0,SUMIF(Rechner!$A$12:$A$21,A1534,Rechner!$B$12:$B$21))</f>
        <v/>
      </c>
      <c r="G1534">
        <f>H1533+E1534</f>
        <v/>
      </c>
      <c r="H1534">
        <f>G1534-MIN(F1534,G1534)</f>
        <v/>
      </c>
      <c r="I1534">
        <f>MIN(F1534-MIN(F1534,G1534),D1534)</f>
        <v/>
      </c>
      <c r="J1534">
        <f>D1534-I1534</f>
        <v/>
      </c>
      <c r="K1534">
        <f>F1534-MIN(F1534,G1534)-I1534</f>
        <v/>
      </c>
    </row>
    <row r="1535">
      <c r="A1535" s="21">
        <f>IF(Rechner!$E$4&lt;&gt;"ok","",IF(Rechner!$E$5+1533&lt;=Rechner!$B$6,Rechner!$E$5+1533,""))</f>
        <v/>
      </c>
      <c r="B1535">
        <f>IF(A1535="","",LOOKUP(A1535,Basiszins!$A$5:$A$18,Basiszins!$B$5:$B$18))</f>
        <v/>
      </c>
      <c r="C1535">
        <f>IF(A1535="","",B1535+Rechner!$E$7)</f>
        <v/>
      </c>
      <c r="D1535">
        <f>J1534</f>
        <v/>
      </c>
      <c r="E1535">
        <f>IF(A1535="",0,D1535*C1535/100/(DATE(YEAR(A1535)+1,1,1)-DATE(YEAR(A1535),1,1)))</f>
        <v/>
      </c>
      <c r="F1535">
        <f>IF(A1535="",0,SUMIF(Rechner!$A$12:$A$21,A1535,Rechner!$B$12:$B$21))</f>
        <v/>
      </c>
      <c r="G1535">
        <f>H1534+E1535</f>
        <v/>
      </c>
      <c r="H1535">
        <f>G1535-MIN(F1535,G1535)</f>
        <v/>
      </c>
      <c r="I1535">
        <f>MIN(F1535-MIN(F1535,G1535),D1535)</f>
        <v/>
      </c>
      <c r="J1535">
        <f>D1535-I1535</f>
        <v/>
      </c>
      <c r="K1535">
        <f>F1535-MIN(F1535,G1535)-I1535</f>
        <v/>
      </c>
    </row>
    <row r="1536">
      <c r="A1536" s="21">
        <f>IF(Rechner!$E$4&lt;&gt;"ok","",IF(Rechner!$E$5+1534&lt;=Rechner!$B$6,Rechner!$E$5+1534,""))</f>
        <v/>
      </c>
      <c r="B1536">
        <f>IF(A1536="","",LOOKUP(A1536,Basiszins!$A$5:$A$18,Basiszins!$B$5:$B$18))</f>
        <v/>
      </c>
      <c r="C1536">
        <f>IF(A1536="","",B1536+Rechner!$E$7)</f>
        <v/>
      </c>
      <c r="D1536">
        <f>J1535</f>
        <v/>
      </c>
      <c r="E1536">
        <f>IF(A1536="",0,D1536*C1536/100/(DATE(YEAR(A1536)+1,1,1)-DATE(YEAR(A1536),1,1)))</f>
        <v/>
      </c>
      <c r="F1536">
        <f>IF(A1536="",0,SUMIF(Rechner!$A$12:$A$21,A1536,Rechner!$B$12:$B$21))</f>
        <v/>
      </c>
      <c r="G1536">
        <f>H1535+E1536</f>
        <v/>
      </c>
      <c r="H1536">
        <f>G1536-MIN(F1536,G1536)</f>
        <v/>
      </c>
      <c r="I1536">
        <f>MIN(F1536-MIN(F1536,G1536),D1536)</f>
        <v/>
      </c>
      <c r="J1536">
        <f>D1536-I1536</f>
        <v/>
      </c>
      <c r="K1536">
        <f>F1536-MIN(F1536,G1536)-I1536</f>
        <v/>
      </c>
    </row>
    <row r="1537">
      <c r="A1537" s="21">
        <f>IF(Rechner!$E$4&lt;&gt;"ok","",IF(Rechner!$E$5+1535&lt;=Rechner!$B$6,Rechner!$E$5+1535,""))</f>
        <v/>
      </c>
      <c r="B1537">
        <f>IF(A1537="","",LOOKUP(A1537,Basiszins!$A$5:$A$18,Basiszins!$B$5:$B$18))</f>
        <v/>
      </c>
      <c r="C1537">
        <f>IF(A1537="","",B1537+Rechner!$E$7)</f>
        <v/>
      </c>
      <c r="D1537">
        <f>J1536</f>
        <v/>
      </c>
      <c r="E1537">
        <f>IF(A1537="",0,D1537*C1537/100/(DATE(YEAR(A1537)+1,1,1)-DATE(YEAR(A1537),1,1)))</f>
        <v/>
      </c>
      <c r="F1537">
        <f>IF(A1537="",0,SUMIF(Rechner!$A$12:$A$21,A1537,Rechner!$B$12:$B$21))</f>
        <v/>
      </c>
      <c r="G1537">
        <f>H1536+E1537</f>
        <v/>
      </c>
      <c r="H1537">
        <f>G1537-MIN(F1537,G1537)</f>
        <v/>
      </c>
      <c r="I1537">
        <f>MIN(F1537-MIN(F1537,G1537),D1537)</f>
        <v/>
      </c>
      <c r="J1537">
        <f>D1537-I1537</f>
        <v/>
      </c>
      <c r="K1537">
        <f>F1537-MIN(F1537,G1537)-I1537</f>
        <v/>
      </c>
    </row>
    <row r="1538">
      <c r="A1538" s="21">
        <f>IF(Rechner!$E$4&lt;&gt;"ok","",IF(Rechner!$E$5+1536&lt;=Rechner!$B$6,Rechner!$E$5+1536,""))</f>
        <v/>
      </c>
      <c r="B1538">
        <f>IF(A1538="","",LOOKUP(A1538,Basiszins!$A$5:$A$18,Basiszins!$B$5:$B$18))</f>
        <v/>
      </c>
      <c r="C1538">
        <f>IF(A1538="","",B1538+Rechner!$E$7)</f>
        <v/>
      </c>
      <c r="D1538">
        <f>J1537</f>
        <v/>
      </c>
      <c r="E1538">
        <f>IF(A1538="",0,D1538*C1538/100/(DATE(YEAR(A1538)+1,1,1)-DATE(YEAR(A1538),1,1)))</f>
        <v/>
      </c>
      <c r="F1538">
        <f>IF(A1538="",0,SUMIF(Rechner!$A$12:$A$21,A1538,Rechner!$B$12:$B$21))</f>
        <v/>
      </c>
      <c r="G1538">
        <f>H1537+E1538</f>
        <v/>
      </c>
      <c r="H1538">
        <f>G1538-MIN(F1538,G1538)</f>
        <v/>
      </c>
      <c r="I1538">
        <f>MIN(F1538-MIN(F1538,G1538),D1538)</f>
        <v/>
      </c>
      <c r="J1538">
        <f>D1538-I1538</f>
        <v/>
      </c>
      <c r="K1538">
        <f>F1538-MIN(F1538,G1538)-I1538</f>
        <v/>
      </c>
    </row>
    <row r="1539">
      <c r="A1539" s="21">
        <f>IF(Rechner!$E$4&lt;&gt;"ok","",IF(Rechner!$E$5+1537&lt;=Rechner!$B$6,Rechner!$E$5+1537,""))</f>
        <v/>
      </c>
      <c r="B1539">
        <f>IF(A1539="","",LOOKUP(A1539,Basiszins!$A$5:$A$18,Basiszins!$B$5:$B$18))</f>
        <v/>
      </c>
      <c r="C1539">
        <f>IF(A1539="","",B1539+Rechner!$E$7)</f>
        <v/>
      </c>
      <c r="D1539">
        <f>J1538</f>
        <v/>
      </c>
      <c r="E1539">
        <f>IF(A1539="",0,D1539*C1539/100/(DATE(YEAR(A1539)+1,1,1)-DATE(YEAR(A1539),1,1)))</f>
        <v/>
      </c>
      <c r="F1539">
        <f>IF(A1539="",0,SUMIF(Rechner!$A$12:$A$21,A1539,Rechner!$B$12:$B$21))</f>
        <v/>
      </c>
      <c r="G1539">
        <f>H1538+E1539</f>
        <v/>
      </c>
      <c r="H1539">
        <f>G1539-MIN(F1539,G1539)</f>
        <v/>
      </c>
      <c r="I1539">
        <f>MIN(F1539-MIN(F1539,G1539),D1539)</f>
        <v/>
      </c>
      <c r="J1539">
        <f>D1539-I1539</f>
        <v/>
      </c>
      <c r="K1539">
        <f>F1539-MIN(F1539,G1539)-I1539</f>
        <v/>
      </c>
    </row>
    <row r="1540">
      <c r="A1540" s="21">
        <f>IF(Rechner!$E$4&lt;&gt;"ok","",IF(Rechner!$E$5+1538&lt;=Rechner!$B$6,Rechner!$E$5+1538,""))</f>
        <v/>
      </c>
      <c r="B1540">
        <f>IF(A1540="","",LOOKUP(A1540,Basiszins!$A$5:$A$18,Basiszins!$B$5:$B$18))</f>
        <v/>
      </c>
      <c r="C1540">
        <f>IF(A1540="","",B1540+Rechner!$E$7)</f>
        <v/>
      </c>
      <c r="D1540">
        <f>J1539</f>
        <v/>
      </c>
      <c r="E1540">
        <f>IF(A1540="",0,D1540*C1540/100/(DATE(YEAR(A1540)+1,1,1)-DATE(YEAR(A1540),1,1)))</f>
        <v/>
      </c>
      <c r="F1540">
        <f>IF(A1540="",0,SUMIF(Rechner!$A$12:$A$21,A1540,Rechner!$B$12:$B$21))</f>
        <v/>
      </c>
      <c r="G1540">
        <f>H1539+E1540</f>
        <v/>
      </c>
      <c r="H1540">
        <f>G1540-MIN(F1540,G1540)</f>
        <v/>
      </c>
      <c r="I1540">
        <f>MIN(F1540-MIN(F1540,G1540),D1540)</f>
        <v/>
      </c>
      <c r="J1540">
        <f>D1540-I1540</f>
        <v/>
      </c>
      <c r="K1540">
        <f>F1540-MIN(F1540,G1540)-I1540</f>
        <v/>
      </c>
    </row>
    <row r="1541">
      <c r="A1541" s="21">
        <f>IF(Rechner!$E$4&lt;&gt;"ok","",IF(Rechner!$E$5+1539&lt;=Rechner!$B$6,Rechner!$E$5+1539,""))</f>
        <v/>
      </c>
      <c r="B1541">
        <f>IF(A1541="","",LOOKUP(A1541,Basiszins!$A$5:$A$18,Basiszins!$B$5:$B$18))</f>
        <v/>
      </c>
      <c r="C1541">
        <f>IF(A1541="","",B1541+Rechner!$E$7)</f>
        <v/>
      </c>
      <c r="D1541">
        <f>J1540</f>
        <v/>
      </c>
      <c r="E1541">
        <f>IF(A1541="",0,D1541*C1541/100/(DATE(YEAR(A1541)+1,1,1)-DATE(YEAR(A1541),1,1)))</f>
        <v/>
      </c>
      <c r="F1541">
        <f>IF(A1541="",0,SUMIF(Rechner!$A$12:$A$21,A1541,Rechner!$B$12:$B$21))</f>
        <v/>
      </c>
      <c r="G1541">
        <f>H1540+E1541</f>
        <v/>
      </c>
      <c r="H1541">
        <f>G1541-MIN(F1541,G1541)</f>
        <v/>
      </c>
      <c r="I1541">
        <f>MIN(F1541-MIN(F1541,G1541),D1541)</f>
        <v/>
      </c>
      <c r="J1541">
        <f>D1541-I1541</f>
        <v/>
      </c>
      <c r="K1541">
        <f>F1541-MIN(F1541,G1541)-I1541</f>
        <v/>
      </c>
    </row>
    <row r="1542">
      <c r="A1542" s="21">
        <f>IF(Rechner!$E$4&lt;&gt;"ok","",IF(Rechner!$E$5+1540&lt;=Rechner!$B$6,Rechner!$E$5+1540,""))</f>
        <v/>
      </c>
      <c r="B1542">
        <f>IF(A1542="","",LOOKUP(A1542,Basiszins!$A$5:$A$18,Basiszins!$B$5:$B$18))</f>
        <v/>
      </c>
      <c r="C1542">
        <f>IF(A1542="","",B1542+Rechner!$E$7)</f>
        <v/>
      </c>
      <c r="D1542">
        <f>J1541</f>
        <v/>
      </c>
      <c r="E1542">
        <f>IF(A1542="",0,D1542*C1542/100/(DATE(YEAR(A1542)+1,1,1)-DATE(YEAR(A1542),1,1)))</f>
        <v/>
      </c>
      <c r="F1542">
        <f>IF(A1542="",0,SUMIF(Rechner!$A$12:$A$21,A1542,Rechner!$B$12:$B$21))</f>
        <v/>
      </c>
      <c r="G1542">
        <f>H1541+E1542</f>
        <v/>
      </c>
      <c r="H1542">
        <f>G1542-MIN(F1542,G1542)</f>
        <v/>
      </c>
      <c r="I1542">
        <f>MIN(F1542-MIN(F1542,G1542),D1542)</f>
        <v/>
      </c>
      <c r="J1542">
        <f>D1542-I1542</f>
        <v/>
      </c>
      <c r="K1542">
        <f>F1542-MIN(F1542,G1542)-I1542</f>
        <v/>
      </c>
    </row>
    <row r="1543">
      <c r="A1543" s="21">
        <f>IF(Rechner!$E$4&lt;&gt;"ok","",IF(Rechner!$E$5+1541&lt;=Rechner!$B$6,Rechner!$E$5+1541,""))</f>
        <v/>
      </c>
      <c r="B1543">
        <f>IF(A1543="","",LOOKUP(A1543,Basiszins!$A$5:$A$18,Basiszins!$B$5:$B$18))</f>
        <v/>
      </c>
      <c r="C1543">
        <f>IF(A1543="","",B1543+Rechner!$E$7)</f>
        <v/>
      </c>
      <c r="D1543">
        <f>J1542</f>
        <v/>
      </c>
      <c r="E1543">
        <f>IF(A1543="",0,D1543*C1543/100/(DATE(YEAR(A1543)+1,1,1)-DATE(YEAR(A1543),1,1)))</f>
        <v/>
      </c>
      <c r="F1543">
        <f>IF(A1543="",0,SUMIF(Rechner!$A$12:$A$21,A1543,Rechner!$B$12:$B$21))</f>
        <v/>
      </c>
      <c r="G1543">
        <f>H1542+E1543</f>
        <v/>
      </c>
      <c r="H1543">
        <f>G1543-MIN(F1543,G1543)</f>
        <v/>
      </c>
      <c r="I1543">
        <f>MIN(F1543-MIN(F1543,G1543),D1543)</f>
        <v/>
      </c>
      <c r="J1543">
        <f>D1543-I1543</f>
        <v/>
      </c>
      <c r="K1543">
        <f>F1543-MIN(F1543,G1543)-I1543</f>
        <v/>
      </c>
    </row>
    <row r="1544">
      <c r="A1544" s="21">
        <f>IF(Rechner!$E$4&lt;&gt;"ok","",IF(Rechner!$E$5+1542&lt;=Rechner!$B$6,Rechner!$E$5+1542,""))</f>
        <v/>
      </c>
      <c r="B1544">
        <f>IF(A1544="","",LOOKUP(A1544,Basiszins!$A$5:$A$18,Basiszins!$B$5:$B$18))</f>
        <v/>
      </c>
      <c r="C1544">
        <f>IF(A1544="","",B1544+Rechner!$E$7)</f>
        <v/>
      </c>
      <c r="D1544">
        <f>J1543</f>
        <v/>
      </c>
      <c r="E1544">
        <f>IF(A1544="",0,D1544*C1544/100/(DATE(YEAR(A1544)+1,1,1)-DATE(YEAR(A1544),1,1)))</f>
        <v/>
      </c>
      <c r="F1544">
        <f>IF(A1544="",0,SUMIF(Rechner!$A$12:$A$21,A1544,Rechner!$B$12:$B$21))</f>
        <v/>
      </c>
      <c r="G1544">
        <f>H1543+E1544</f>
        <v/>
      </c>
      <c r="H1544">
        <f>G1544-MIN(F1544,G1544)</f>
        <v/>
      </c>
      <c r="I1544">
        <f>MIN(F1544-MIN(F1544,G1544),D1544)</f>
        <v/>
      </c>
      <c r="J1544">
        <f>D1544-I1544</f>
        <v/>
      </c>
      <c r="K1544">
        <f>F1544-MIN(F1544,G1544)-I1544</f>
        <v/>
      </c>
    </row>
    <row r="1545">
      <c r="A1545" s="21">
        <f>IF(Rechner!$E$4&lt;&gt;"ok","",IF(Rechner!$E$5+1543&lt;=Rechner!$B$6,Rechner!$E$5+1543,""))</f>
        <v/>
      </c>
      <c r="B1545">
        <f>IF(A1545="","",LOOKUP(A1545,Basiszins!$A$5:$A$18,Basiszins!$B$5:$B$18))</f>
        <v/>
      </c>
      <c r="C1545">
        <f>IF(A1545="","",B1545+Rechner!$E$7)</f>
        <v/>
      </c>
      <c r="D1545">
        <f>J1544</f>
        <v/>
      </c>
      <c r="E1545">
        <f>IF(A1545="",0,D1545*C1545/100/(DATE(YEAR(A1545)+1,1,1)-DATE(YEAR(A1545),1,1)))</f>
        <v/>
      </c>
      <c r="F1545">
        <f>IF(A1545="",0,SUMIF(Rechner!$A$12:$A$21,A1545,Rechner!$B$12:$B$21))</f>
        <v/>
      </c>
      <c r="G1545">
        <f>H1544+E1545</f>
        <v/>
      </c>
      <c r="H1545">
        <f>G1545-MIN(F1545,G1545)</f>
        <v/>
      </c>
      <c r="I1545">
        <f>MIN(F1545-MIN(F1545,G1545),D1545)</f>
        <v/>
      </c>
      <c r="J1545">
        <f>D1545-I1545</f>
        <v/>
      </c>
      <c r="K1545">
        <f>F1545-MIN(F1545,G1545)-I1545</f>
        <v/>
      </c>
    </row>
    <row r="1546">
      <c r="A1546" s="21">
        <f>IF(Rechner!$E$4&lt;&gt;"ok","",IF(Rechner!$E$5+1544&lt;=Rechner!$B$6,Rechner!$E$5+1544,""))</f>
        <v/>
      </c>
      <c r="B1546">
        <f>IF(A1546="","",LOOKUP(A1546,Basiszins!$A$5:$A$18,Basiszins!$B$5:$B$18))</f>
        <v/>
      </c>
      <c r="C1546">
        <f>IF(A1546="","",B1546+Rechner!$E$7)</f>
        <v/>
      </c>
      <c r="D1546">
        <f>J1545</f>
        <v/>
      </c>
      <c r="E1546">
        <f>IF(A1546="",0,D1546*C1546/100/(DATE(YEAR(A1546)+1,1,1)-DATE(YEAR(A1546),1,1)))</f>
        <v/>
      </c>
      <c r="F1546">
        <f>IF(A1546="",0,SUMIF(Rechner!$A$12:$A$21,A1546,Rechner!$B$12:$B$21))</f>
        <v/>
      </c>
      <c r="G1546">
        <f>H1545+E1546</f>
        <v/>
      </c>
      <c r="H1546">
        <f>G1546-MIN(F1546,G1546)</f>
        <v/>
      </c>
      <c r="I1546">
        <f>MIN(F1546-MIN(F1546,G1546),D1546)</f>
        <v/>
      </c>
      <c r="J1546">
        <f>D1546-I1546</f>
        <v/>
      </c>
      <c r="K1546">
        <f>F1546-MIN(F1546,G1546)-I1546</f>
        <v/>
      </c>
    </row>
    <row r="1547">
      <c r="A1547" s="21">
        <f>IF(Rechner!$E$4&lt;&gt;"ok","",IF(Rechner!$E$5+1545&lt;=Rechner!$B$6,Rechner!$E$5+1545,""))</f>
        <v/>
      </c>
      <c r="B1547">
        <f>IF(A1547="","",LOOKUP(A1547,Basiszins!$A$5:$A$18,Basiszins!$B$5:$B$18))</f>
        <v/>
      </c>
      <c r="C1547">
        <f>IF(A1547="","",B1547+Rechner!$E$7)</f>
        <v/>
      </c>
      <c r="D1547">
        <f>J1546</f>
        <v/>
      </c>
      <c r="E1547">
        <f>IF(A1547="",0,D1547*C1547/100/(DATE(YEAR(A1547)+1,1,1)-DATE(YEAR(A1547),1,1)))</f>
        <v/>
      </c>
      <c r="F1547">
        <f>IF(A1547="",0,SUMIF(Rechner!$A$12:$A$21,A1547,Rechner!$B$12:$B$21))</f>
        <v/>
      </c>
      <c r="G1547">
        <f>H1546+E1547</f>
        <v/>
      </c>
      <c r="H1547">
        <f>G1547-MIN(F1547,G1547)</f>
        <v/>
      </c>
      <c r="I1547">
        <f>MIN(F1547-MIN(F1547,G1547),D1547)</f>
        <v/>
      </c>
      <c r="J1547">
        <f>D1547-I1547</f>
        <v/>
      </c>
      <c r="K1547">
        <f>F1547-MIN(F1547,G1547)-I1547</f>
        <v/>
      </c>
    </row>
    <row r="1548">
      <c r="A1548" s="21">
        <f>IF(Rechner!$E$4&lt;&gt;"ok","",IF(Rechner!$E$5+1546&lt;=Rechner!$B$6,Rechner!$E$5+1546,""))</f>
        <v/>
      </c>
      <c r="B1548">
        <f>IF(A1548="","",LOOKUP(A1548,Basiszins!$A$5:$A$18,Basiszins!$B$5:$B$18))</f>
        <v/>
      </c>
      <c r="C1548">
        <f>IF(A1548="","",B1548+Rechner!$E$7)</f>
        <v/>
      </c>
      <c r="D1548">
        <f>J1547</f>
        <v/>
      </c>
      <c r="E1548">
        <f>IF(A1548="",0,D1548*C1548/100/(DATE(YEAR(A1548)+1,1,1)-DATE(YEAR(A1548),1,1)))</f>
        <v/>
      </c>
      <c r="F1548">
        <f>IF(A1548="",0,SUMIF(Rechner!$A$12:$A$21,A1548,Rechner!$B$12:$B$21))</f>
        <v/>
      </c>
      <c r="G1548">
        <f>H1547+E1548</f>
        <v/>
      </c>
      <c r="H1548">
        <f>G1548-MIN(F1548,G1548)</f>
        <v/>
      </c>
      <c r="I1548">
        <f>MIN(F1548-MIN(F1548,G1548),D1548)</f>
        <v/>
      </c>
      <c r="J1548">
        <f>D1548-I1548</f>
        <v/>
      </c>
      <c r="K1548">
        <f>F1548-MIN(F1548,G1548)-I1548</f>
        <v/>
      </c>
    </row>
    <row r="1549">
      <c r="A1549" s="21">
        <f>IF(Rechner!$E$4&lt;&gt;"ok","",IF(Rechner!$E$5+1547&lt;=Rechner!$B$6,Rechner!$E$5+1547,""))</f>
        <v/>
      </c>
      <c r="B1549">
        <f>IF(A1549="","",LOOKUP(A1549,Basiszins!$A$5:$A$18,Basiszins!$B$5:$B$18))</f>
        <v/>
      </c>
      <c r="C1549">
        <f>IF(A1549="","",B1549+Rechner!$E$7)</f>
        <v/>
      </c>
      <c r="D1549">
        <f>J1548</f>
        <v/>
      </c>
      <c r="E1549">
        <f>IF(A1549="",0,D1549*C1549/100/(DATE(YEAR(A1549)+1,1,1)-DATE(YEAR(A1549),1,1)))</f>
        <v/>
      </c>
      <c r="F1549">
        <f>IF(A1549="",0,SUMIF(Rechner!$A$12:$A$21,A1549,Rechner!$B$12:$B$21))</f>
        <v/>
      </c>
      <c r="G1549">
        <f>H1548+E1549</f>
        <v/>
      </c>
      <c r="H1549">
        <f>G1549-MIN(F1549,G1549)</f>
        <v/>
      </c>
      <c r="I1549">
        <f>MIN(F1549-MIN(F1549,G1549),D1549)</f>
        <v/>
      </c>
      <c r="J1549">
        <f>D1549-I1549</f>
        <v/>
      </c>
      <c r="K1549">
        <f>F1549-MIN(F1549,G1549)-I1549</f>
        <v/>
      </c>
    </row>
    <row r="1550">
      <c r="A1550" s="21">
        <f>IF(Rechner!$E$4&lt;&gt;"ok","",IF(Rechner!$E$5+1548&lt;=Rechner!$B$6,Rechner!$E$5+1548,""))</f>
        <v/>
      </c>
      <c r="B1550">
        <f>IF(A1550="","",LOOKUP(A1550,Basiszins!$A$5:$A$18,Basiszins!$B$5:$B$18))</f>
        <v/>
      </c>
      <c r="C1550">
        <f>IF(A1550="","",B1550+Rechner!$E$7)</f>
        <v/>
      </c>
      <c r="D1550">
        <f>J1549</f>
        <v/>
      </c>
      <c r="E1550">
        <f>IF(A1550="",0,D1550*C1550/100/(DATE(YEAR(A1550)+1,1,1)-DATE(YEAR(A1550),1,1)))</f>
        <v/>
      </c>
      <c r="F1550">
        <f>IF(A1550="",0,SUMIF(Rechner!$A$12:$A$21,A1550,Rechner!$B$12:$B$21))</f>
        <v/>
      </c>
      <c r="G1550">
        <f>H1549+E1550</f>
        <v/>
      </c>
      <c r="H1550">
        <f>G1550-MIN(F1550,G1550)</f>
        <v/>
      </c>
      <c r="I1550">
        <f>MIN(F1550-MIN(F1550,G1550),D1550)</f>
        <v/>
      </c>
      <c r="J1550">
        <f>D1550-I1550</f>
        <v/>
      </c>
      <c r="K1550">
        <f>F1550-MIN(F1550,G1550)-I1550</f>
        <v/>
      </c>
    </row>
    <row r="1551">
      <c r="A1551" s="21">
        <f>IF(Rechner!$E$4&lt;&gt;"ok","",IF(Rechner!$E$5+1549&lt;=Rechner!$B$6,Rechner!$E$5+1549,""))</f>
        <v/>
      </c>
      <c r="B1551">
        <f>IF(A1551="","",LOOKUP(A1551,Basiszins!$A$5:$A$18,Basiszins!$B$5:$B$18))</f>
        <v/>
      </c>
      <c r="C1551">
        <f>IF(A1551="","",B1551+Rechner!$E$7)</f>
        <v/>
      </c>
      <c r="D1551">
        <f>J1550</f>
        <v/>
      </c>
      <c r="E1551">
        <f>IF(A1551="",0,D1551*C1551/100/(DATE(YEAR(A1551)+1,1,1)-DATE(YEAR(A1551),1,1)))</f>
        <v/>
      </c>
      <c r="F1551">
        <f>IF(A1551="",0,SUMIF(Rechner!$A$12:$A$21,A1551,Rechner!$B$12:$B$21))</f>
        <v/>
      </c>
      <c r="G1551">
        <f>H1550+E1551</f>
        <v/>
      </c>
      <c r="H1551">
        <f>G1551-MIN(F1551,G1551)</f>
        <v/>
      </c>
      <c r="I1551">
        <f>MIN(F1551-MIN(F1551,G1551),D1551)</f>
        <v/>
      </c>
      <c r="J1551">
        <f>D1551-I1551</f>
        <v/>
      </c>
      <c r="K1551">
        <f>F1551-MIN(F1551,G1551)-I1551</f>
        <v/>
      </c>
    </row>
    <row r="1552">
      <c r="A1552" s="21">
        <f>IF(Rechner!$E$4&lt;&gt;"ok","",IF(Rechner!$E$5+1550&lt;=Rechner!$B$6,Rechner!$E$5+1550,""))</f>
        <v/>
      </c>
      <c r="B1552">
        <f>IF(A1552="","",LOOKUP(A1552,Basiszins!$A$5:$A$18,Basiszins!$B$5:$B$18))</f>
        <v/>
      </c>
      <c r="C1552">
        <f>IF(A1552="","",B1552+Rechner!$E$7)</f>
        <v/>
      </c>
      <c r="D1552">
        <f>J1551</f>
        <v/>
      </c>
      <c r="E1552">
        <f>IF(A1552="",0,D1552*C1552/100/(DATE(YEAR(A1552)+1,1,1)-DATE(YEAR(A1552),1,1)))</f>
        <v/>
      </c>
      <c r="F1552">
        <f>IF(A1552="",0,SUMIF(Rechner!$A$12:$A$21,A1552,Rechner!$B$12:$B$21))</f>
        <v/>
      </c>
      <c r="G1552">
        <f>H1551+E1552</f>
        <v/>
      </c>
      <c r="H1552">
        <f>G1552-MIN(F1552,G1552)</f>
        <v/>
      </c>
      <c r="I1552">
        <f>MIN(F1552-MIN(F1552,G1552),D1552)</f>
        <v/>
      </c>
      <c r="J1552">
        <f>D1552-I1552</f>
        <v/>
      </c>
      <c r="K1552">
        <f>F1552-MIN(F1552,G1552)-I1552</f>
        <v/>
      </c>
    </row>
    <row r="1553">
      <c r="A1553" s="21">
        <f>IF(Rechner!$E$4&lt;&gt;"ok","",IF(Rechner!$E$5+1551&lt;=Rechner!$B$6,Rechner!$E$5+1551,""))</f>
        <v/>
      </c>
      <c r="B1553">
        <f>IF(A1553="","",LOOKUP(A1553,Basiszins!$A$5:$A$18,Basiszins!$B$5:$B$18))</f>
        <v/>
      </c>
      <c r="C1553">
        <f>IF(A1553="","",B1553+Rechner!$E$7)</f>
        <v/>
      </c>
      <c r="D1553">
        <f>J1552</f>
        <v/>
      </c>
      <c r="E1553">
        <f>IF(A1553="",0,D1553*C1553/100/(DATE(YEAR(A1553)+1,1,1)-DATE(YEAR(A1553),1,1)))</f>
        <v/>
      </c>
      <c r="F1553">
        <f>IF(A1553="",0,SUMIF(Rechner!$A$12:$A$21,A1553,Rechner!$B$12:$B$21))</f>
        <v/>
      </c>
      <c r="G1553">
        <f>H1552+E1553</f>
        <v/>
      </c>
      <c r="H1553">
        <f>G1553-MIN(F1553,G1553)</f>
        <v/>
      </c>
      <c r="I1553">
        <f>MIN(F1553-MIN(F1553,G1553),D1553)</f>
        <v/>
      </c>
      <c r="J1553">
        <f>D1553-I1553</f>
        <v/>
      </c>
      <c r="K1553">
        <f>F1553-MIN(F1553,G1553)-I1553</f>
        <v/>
      </c>
    </row>
    <row r="1554">
      <c r="A1554" s="21">
        <f>IF(Rechner!$E$4&lt;&gt;"ok","",IF(Rechner!$E$5+1552&lt;=Rechner!$B$6,Rechner!$E$5+1552,""))</f>
        <v/>
      </c>
      <c r="B1554">
        <f>IF(A1554="","",LOOKUP(A1554,Basiszins!$A$5:$A$18,Basiszins!$B$5:$B$18))</f>
        <v/>
      </c>
      <c r="C1554">
        <f>IF(A1554="","",B1554+Rechner!$E$7)</f>
        <v/>
      </c>
      <c r="D1554">
        <f>J1553</f>
        <v/>
      </c>
      <c r="E1554">
        <f>IF(A1554="",0,D1554*C1554/100/(DATE(YEAR(A1554)+1,1,1)-DATE(YEAR(A1554),1,1)))</f>
        <v/>
      </c>
      <c r="F1554">
        <f>IF(A1554="",0,SUMIF(Rechner!$A$12:$A$21,A1554,Rechner!$B$12:$B$21))</f>
        <v/>
      </c>
      <c r="G1554">
        <f>H1553+E1554</f>
        <v/>
      </c>
      <c r="H1554">
        <f>G1554-MIN(F1554,G1554)</f>
        <v/>
      </c>
      <c r="I1554">
        <f>MIN(F1554-MIN(F1554,G1554),D1554)</f>
        <v/>
      </c>
      <c r="J1554">
        <f>D1554-I1554</f>
        <v/>
      </c>
      <c r="K1554">
        <f>F1554-MIN(F1554,G1554)-I1554</f>
        <v/>
      </c>
    </row>
    <row r="1555">
      <c r="A1555" s="21">
        <f>IF(Rechner!$E$4&lt;&gt;"ok","",IF(Rechner!$E$5+1553&lt;=Rechner!$B$6,Rechner!$E$5+1553,""))</f>
        <v/>
      </c>
      <c r="B1555">
        <f>IF(A1555="","",LOOKUP(A1555,Basiszins!$A$5:$A$18,Basiszins!$B$5:$B$18))</f>
        <v/>
      </c>
      <c r="C1555">
        <f>IF(A1555="","",B1555+Rechner!$E$7)</f>
        <v/>
      </c>
      <c r="D1555">
        <f>J1554</f>
        <v/>
      </c>
      <c r="E1555">
        <f>IF(A1555="",0,D1555*C1555/100/(DATE(YEAR(A1555)+1,1,1)-DATE(YEAR(A1555),1,1)))</f>
        <v/>
      </c>
      <c r="F1555">
        <f>IF(A1555="",0,SUMIF(Rechner!$A$12:$A$21,A1555,Rechner!$B$12:$B$21))</f>
        <v/>
      </c>
      <c r="G1555">
        <f>H1554+E1555</f>
        <v/>
      </c>
      <c r="H1555">
        <f>G1555-MIN(F1555,G1555)</f>
        <v/>
      </c>
      <c r="I1555">
        <f>MIN(F1555-MIN(F1555,G1555),D1555)</f>
        <v/>
      </c>
      <c r="J1555">
        <f>D1555-I1555</f>
        <v/>
      </c>
      <c r="K1555">
        <f>F1555-MIN(F1555,G1555)-I1555</f>
        <v/>
      </c>
    </row>
    <row r="1556">
      <c r="A1556" s="21">
        <f>IF(Rechner!$E$4&lt;&gt;"ok","",IF(Rechner!$E$5+1554&lt;=Rechner!$B$6,Rechner!$E$5+1554,""))</f>
        <v/>
      </c>
      <c r="B1556">
        <f>IF(A1556="","",LOOKUP(A1556,Basiszins!$A$5:$A$18,Basiszins!$B$5:$B$18))</f>
        <v/>
      </c>
      <c r="C1556">
        <f>IF(A1556="","",B1556+Rechner!$E$7)</f>
        <v/>
      </c>
      <c r="D1556">
        <f>J1555</f>
        <v/>
      </c>
      <c r="E1556">
        <f>IF(A1556="",0,D1556*C1556/100/(DATE(YEAR(A1556)+1,1,1)-DATE(YEAR(A1556),1,1)))</f>
        <v/>
      </c>
      <c r="F1556">
        <f>IF(A1556="",0,SUMIF(Rechner!$A$12:$A$21,A1556,Rechner!$B$12:$B$21))</f>
        <v/>
      </c>
      <c r="G1556">
        <f>H1555+E1556</f>
        <v/>
      </c>
      <c r="H1556">
        <f>G1556-MIN(F1556,G1556)</f>
        <v/>
      </c>
      <c r="I1556">
        <f>MIN(F1556-MIN(F1556,G1556),D1556)</f>
        <v/>
      </c>
      <c r="J1556">
        <f>D1556-I1556</f>
        <v/>
      </c>
      <c r="K1556">
        <f>F1556-MIN(F1556,G1556)-I1556</f>
        <v/>
      </c>
    </row>
    <row r="1557">
      <c r="A1557" s="21">
        <f>IF(Rechner!$E$4&lt;&gt;"ok","",IF(Rechner!$E$5+1555&lt;=Rechner!$B$6,Rechner!$E$5+1555,""))</f>
        <v/>
      </c>
      <c r="B1557">
        <f>IF(A1557="","",LOOKUP(A1557,Basiszins!$A$5:$A$18,Basiszins!$B$5:$B$18))</f>
        <v/>
      </c>
      <c r="C1557">
        <f>IF(A1557="","",B1557+Rechner!$E$7)</f>
        <v/>
      </c>
      <c r="D1557">
        <f>J1556</f>
        <v/>
      </c>
      <c r="E1557">
        <f>IF(A1557="",0,D1557*C1557/100/(DATE(YEAR(A1557)+1,1,1)-DATE(YEAR(A1557),1,1)))</f>
        <v/>
      </c>
      <c r="F1557">
        <f>IF(A1557="",0,SUMIF(Rechner!$A$12:$A$21,A1557,Rechner!$B$12:$B$21))</f>
        <v/>
      </c>
      <c r="G1557">
        <f>H1556+E1557</f>
        <v/>
      </c>
      <c r="H1557">
        <f>G1557-MIN(F1557,G1557)</f>
        <v/>
      </c>
      <c r="I1557">
        <f>MIN(F1557-MIN(F1557,G1557),D1557)</f>
        <v/>
      </c>
      <c r="J1557">
        <f>D1557-I1557</f>
        <v/>
      </c>
      <c r="K1557">
        <f>F1557-MIN(F1557,G1557)-I1557</f>
        <v/>
      </c>
    </row>
    <row r="1558">
      <c r="A1558" s="21">
        <f>IF(Rechner!$E$4&lt;&gt;"ok","",IF(Rechner!$E$5+1556&lt;=Rechner!$B$6,Rechner!$E$5+1556,""))</f>
        <v/>
      </c>
      <c r="B1558">
        <f>IF(A1558="","",LOOKUP(A1558,Basiszins!$A$5:$A$18,Basiszins!$B$5:$B$18))</f>
        <v/>
      </c>
      <c r="C1558">
        <f>IF(A1558="","",B1558+Rechner!$E$7)</f>
        <v/>
      </c>
      <c r="D1558">
        <f>J1557</f>
        <v/>
      </c>
      <c r="E1558">
        <f>IF(A1558="",0,D1558*C1558/100/(DATE(YEAR(A1558)+1,1,1)-DATE(YEAR(A1558),1,1)))</f>
        <v/>
      </c>
      <c r="F1558">
        <f>IF(A1558="",0,SUMIF(Rechner!$A$12:$A$21,A1558,Rechner!$B$12:$B$21))</f>
        <v/>
      </c>
      <c r="G1558">
        <f>H1557+E1558</f>
        <v/>
      </c>
      <c r="H1558">
        <f>G1558-MIN(F1558,G1558)</f>
        <v/>
      </c>
      <c r="I1558">
        <f>MIN(F1558-MIN(F1558,G1558),D1558)</f>
        <v/>
      </c>
      <c r="J1558">
        <f>D1558-I1558</f>
        <v/>
      </c>
      <c r="K1558">
        <f>F1558-MIN(F1558,G1558)-I1558</f>
        <v/>
      </c>
    </row>
    <row r="1559">
      <c r="A1559" s="21">
        <f>IF(Rechner!$E$4&lt;&gt;"ok","",IF(Rechner!$E$5+1557&lt;=Rechner!$B$6,Rechner!$E$5+1557,""))</f>
        <v/>
      </c>
      <c r="B1559">
        <f>IF(A1559="","",LOOKUP(A1559,Basiszins!$A$5:$A$18,Basiszins!$B$5:$B$18))</f>
        <v/>
      </c>
      <c r="C1559">
        <f>IF(A1559="","",B1559+Rechner!$E$7)</f>
        <v/>
      </c>
      <c r="D1559">
        <f>J1558</f>
        <v/>
      </c>
      <c r="E1559">
        <f>IF(A1559="",0,D1559*C1559/100/(DATE(YEAR(A1559)+1,1,1)-DATE(YEAR(A1559),1,1)))</f>
        <v/>
      </c>
      <c r="F1559">
        <f>IF(A1559="",0,SUMIF(Rechner!$A$12:$A$21,A1559,Rechner!$B$12:$B$21))</f>
        <v/>
      </c>
      <c r="G1559">
        <f>H1558+E1559</f>
        <v/>
      </c>
      <c r="H1559">
        <f>G1559-MIN(F1559,G1559)</f>
        <v/>
      </c>
      <c r="I1559">
        <f>MIN(F1559-MIN(F1559,G1559),D1559)</f>
        <v/>
      </c>
      <c r="J1559">
        <f>D1559-I1559</f>
        <v/>
      </c>
      <c r="K1559">
        <f>F1559-MIN(F1559,G1559)-I1559</f>
        <v/>
      </c>
    </row>
    <row r="1560">
      <c r="A1560" s="21">
        <f>IF(Rechner!$E$4&lt;&gt;"ok","",IF(Rechner!$E$5+1558&lt;=Rechner!$B$6,Rechner!$E$5+1558,""))</f>
        <v/>
      </c>
      <c r="B1560">
        <f>IF(A1560="","",LOOKUP(A1560,Basiszins!$A$5:$A$18,Basiszins!$B$5:$B$18))</f>
        <v/>
      </c>
      <c r="C1560">
        <f>IF(A1560="","",B1560+Rechner!$E$7)</f>
        <v/>
      </c>
      <c r="D1560">
        <f>J1559</f>
        <v/>
      </c>
      <c r="E1560">
        <f>IF(A1560="",0,D1560*C1560/100/(DATE(YEAR(A1560)+1,1,1)-DATE(YEAR(A1560),1,1)))</f>
        <v/>
      </c>
      <c r="F1560">
        <f>IF(A1560="",0,SUMIF(Rechner!$A$12:$A$21,A1560,Rechner!$B$12:$B$21))</f>
        <v/>
      </c>
      <c r="G1560">
        <f>H1559+E1560</f>
        <v/>
      </c>
      <c r="H1560">
        <f>G1560-MIN(F1560,G1560)</f>
        <v/>
      </c>
      <c r="I1560">
        <f>MIN(F1560-MIN(F1560,G1560),D1560)</f>
        <v/>
      </c>
      <c r="J1560">
        <f>D1560-I1560</f>
        <v/>
      </c>
      <c r="K1560">
        <f>F1560-MIN(F1560,G1560)-I1560</f>
        <v/>
      </c>
    </row>
    <row r="1561">
      <c r="A1561" s="21">
        <f>IF(Rechner!$E$4&lt;&gt;"ok","",IF(Rechner!$E$5+1559&lt;=Rechner!$B$6,Rechner!$E$5+1559,""))</f>
        <v/>
      </c>
      <c r="B1561">
        <f>IF(A1561="","",LOOKUP(A1561,Basiszins!$A$5:$A$18,Basiszins!$B$5:$B$18))</f>
        <v/>
      </c>
      <c r="C1561">
        <f>IF(A1561="","",B1561+Rechner!$E$7)</f>
        <v/>
      </c>
      <c r="D1561">
        <f>J1560</f>
        <v/>
      </c>
      <c r="E1561">
        <f>IF(A1561="",0,D1561*C1561/100/(DATE(YEAR(A1561)+1,1,1)-DATE(YEAR(A1561),1,1)))</f>
        <v/>
      </c>
      <c r="F1561">
        <f>IF(A1561="",0,SUMIF(Rechner!$A$12:$A$21,A1561,Rechner!$B$12:$B$21))</f>
        <v/>
      </c>
      <c r="G1561">
        <f>H1560+E1561</f>
        <v/>
      </c>
      <c r="H1561">
        <f>G1561-MIN(F1561,G1561)</f>
        <v/>
      </c>
      <c r="I1561">
        <f>MIN(F1561-MIN(F1561,G1561),D1561)</f>
        <v/>
      </c>
      <c r="J1561">
        <f>D1561-I1561</f>
        <v/>
      </c>
      <c r="K1561">
        <f>F1561-MIN(F1561,G1561)-I1561</f>
        <v/>
      </c>
    </row>
    <row r="1562">
      <c r="A1562" s="21">
        <f>IF(Rechner!$E$4&lt;&gt;"ok","",IF(Rechner!$E$5+1560&lt;=Rechner!$B$6,Rechner!$E$5+1560,""))</f>
        <v/>
      </c>
      <c r="B1562">
        <f>IF(A1562="","",LOOKUP(A1562,Basiszins!$A$5:$A$18,Basiszins!$B$5:$B$18))</f>
        <v/>
      </c>
      <c r="C1562">
        <f>IF(A1562="","",B1562+Rechner!$E$7)</f>
        <v/>
      </c>
      <c r="D1562">
        <f>J1561</f>
        <v/>
      </c>
      <c r="E1562">
        <f>IF(A1562="",0,D1562*C1562/100/(DATE(YEAR(A1562)+1,1,1)-DATE(YEAR(A1562),1,1)))</f>
        <v/>
      </c>
      <c r="F1562">
        <f>IF(A1562="",0,SUMIF(Rechner!$A$12:$A$21,A1562,Rechner!$B$12:$B$21))</f>
        <v/>
      </c>
      <c r="G1562">
        <f>H1561+E1562</f>
        <v/>
      </c>
      <c r="H1562">
        <f>G1562-MIN(F1562,G1562)</f>
        <v/>
      </c>
      <c r="I1562">
        <f>MIN(F1562-MIN(F1562,G1562),D1562)</f>
        <v/>
      </c>
      <c r="J1562">
        <f>D1562-I1562</f>
        <v/>
      </c>
      <c r="K1562">
        <f>F1562-MIN(F1562,G1562)-I1562</f>
        <v/>
      </c>
    </row>
    <row r="1563">
      <c r="A1563" s="21">
        <f>IF(Rechner!$E$4&lt;&gt;"ok","",IF(Rechner!$E$5+1561&lt;=Rechner!$B$6,Rechner!$E$5+1561,""))</f>
        <v/>
      </c>
      <c r="B1563">
        <f>IF(A1563="","",LOOKUP(A1563,Basiszins!$A$5:$A$18,Basiszins!$B$5:$B$18))</f>
        <v/>
      </c>
      <c r="C1563">
        <f>IF(A1563="","",B1563+Rechner!$E$7)</f>
        <v/>
      </c>
      <c r="D1563">
        <f>J1562</f>
        <v/>
      </c>
      <c r="E1563">
        <f>IF(A1563="",0,D1563*C1563/100/(DATE(YEAR(A1563)+1,1,1)-DATE(YEAR(A1563),1,1)))</f>
        <v/>
      </c>
      <c r="F1563">
        <f>IF(A1563="",0,SUMIF(Rechner!$A$12:$A$21,A1563,Rechner!$B$12:$B$21))</f>
        <v/>
      </c>
      <c r="G1563">
        <f>H1562+E1563</f>
        <v/>
      </c>
      <c r="H1563">
        <f>G1563-MIN(F1563,G1563)</f>
        <v/>
      </c>
      <c r="I1563">
        <f>MIN(F1563-MIN(F1563,G1563),D1563)</f>
        <v/>
      </c>
      <c r="J1563">
        <f>D1563-I1563</f>
        <v/>
      </c>
      <c r="K1563">
        <f>F1563-MIN(F1563,G1563)-I1563</f>
        <v/>
      </c>
    </row>
    <row r="1564">
      <c r="A1564" s="21">
        <f>IF(Rechner!$E$4&lt;&gt;"ok","",IF(Rechner!$E$5+1562&lt;=Rechner!$B$6,Rechner!$E$5+1562,""))</f>
        <v/>
      </c>
      <c r="B1564">
        <f>IF(A1564="","",LOOKUP(A1564,Basiszins!$A$5:$A$18,Basiszins!$B$5:$B$18))</f>
        <v/>
      </c>
      <c r="C1564">
        <f>IF(A1564="","",B1564+Rechner!$E$7)</f>
        <v/>
      </c>
      <c r="D1564">
        <f>J1563</f>
        <v/>
      </c>
      <c r="E1564">
        <f>IF(A1564="",0,D1564*C1564/100/(DATE(YEAR(A1564)+1,1,1)-DATE(YEAR(A1564),1,1)))</f>
        <v/>
      </c>
      <c r="F1564">
        <f>IF(A1564="",0,SUMIF(Rechner!$A$12:$A$21,A1564,Rechner!$B$12:$B$21))</f>
        <v/>
      </c>
      <c r="G1564">
        <f>H1563+E1564</f>
        <v/>
      </c>
      <c r="H1564">
        <f>G1564-MIN(F1564,G1564)</f>
        <v/>
      </c>
      <c r="I1564">
        <f>MIN(F1564-MIN(F1564,G1564),D1564)</f>
        <v/>
      </c>
      <c r="J1564">
        <f>D1564-I1564</f>
        <v/>
      </c>
      <c r="K1564">
        <f>F1564-MIN(F1564,G1564)-I1564</f>
        <v/>
      </c>
    </row>
    <row r="1565">
      <c r="A1565" s="21">
        <f>IF(Rechner!$E$4&lt;&gt;"ok","",IF(Rechner!$E$5+1563&lt;=Rechner!$B$6,Rechner!$E$5+1563,""))</f>
        <v/>
      </c>
      <c r="B1565">
        <f>IF(A1565="","",LOOKUP(A1565,Basiszins!$A$5:$A$18,Basiszins!$B$5:$B$18))</f>
        <v/>
      </c>
      <c r="C1565">
        <f>IF(A1565="","",B1565+Rechner!$E$7)</f>
        <v/>
      </c>
      <c r="D1565">
        <f>J1564</f>
        <v/>
      </c>
      <c r="E1565">
        <f>IF(A1565="",0,D1565*C1565/100/(DATE(YEAR(A1565)+1,1,1)-DATE(YEAR(A1565),1,1)))</f>
        <v/>
      </c>
      <c r="F1565">
        <f>IF(A1565="",0,SUMIF(Rechner!$A$12:$A$21,A1565,Rechner!$B$12:$B$21))</f>
        <v/>
      </c>
      <c r="G1565">
        <f>H1564+E1565</f>
        <v/>
      </c>
      <c r="H1565">
        <f>G1565-MIN(F1565,G1565)</f>
        <v/>
      </c>
      <c r="I1565">
        <f>MIN(F1565-MIN(F1565,G1565),D1565)</f>
        <v/>
      </c>
      <c r="J1565">
        <f>D1565-I1565</f>
        <v/>
      </c>
      <c r="K1565">
        <f>F1565-MIN(F1565,G1565)-I1565</f>
        <v/>
      </c>
    </row>
    <row r="1566">
      <c r="A1566" s="21">
        <f>IF(Rechner!$E$4&lt;&gt;"ok","",IF(Rechner!$E$5+1564&lt;=Rechner!$B$6,Rechner!$E$5+1564,""))</f>
        <v/>
      </c>
      <c r="B1566">
        <f>IF(A1566="","",LOOKUP(A1566,Basiszins!$A$5:$A$18,Basiszins!$B$5:$B$18))</f>
        <v/>
      </c>
      <c r="C1566">
        <f>IF(A1566="","",B1566+Rechner!$E$7)</f>
        <v/>
      </c>
      <c r="D1566">
        <f>J1565</f>
        <v/>
      </c>
      <c r="E1566">
        <f>IF(A1566="",0,D1566*C1566/100/(DATE(YEAR(A1566)+1,1,1)-DATE(YEAR(A1566),1,1)))</f>
        <v/>
      </c>
      <c r="F1566">
        <f>IF(A1566="",0,SUMIF(Rechner!$A$12:$A$21,A1566,Rechner!$B$12:$B$21))</f>
        <v/>
      </c>
      <c r="G1566">
        <f>H1565+E1566</f>
        <v/>
      </c>
      <c r="H1566">
        <f>G1566-MIN(F1566,G1566)</f>
        <v/>
      </c>
      <c r="I1566">
        <f>MIN(F1566-MIN(F1566,G1566),D1566)</f>
        <v/>
      </c>
      <c r="J1566">
        <f>D1566-I1566</f>
        <v/>
      </c>
      <c r="K1566">
        <f>F1566-MIN(F1566,G1566)-I1566</f>
        <v/>
      </c>
    </row>
    <row r="1567">
      <c r="A1567" s="21">
        <f>IF(Rechner!$E$4&lt;&gt;"ok","",IF(Rechner!$E$5+1565&lt;=Rechner!$B$6,Rechner!$E$5+1565,""))</f>
        <v/>
      </c>
      <c r="B1567">
        <f>IF(A1567="","",LOOKUP(A1567,Basiszins!$A$5:$A$18,Basiszins!$B$5:$B$18))</f>
        <v/>
      </c>
      <c r="C1567">
        <f>IF(A1567="","",B1567+Rechner!$E$7)</f>
        <v/>
      </c>
      <c r="D1567">
        <f>J1566</f>
        <v/>
      </c>
      <c r="E1567">
        <f>IF(A1567="",0,D1567*C1567/100/(DATE(YEAR(A1567)+1,1,1)-DATE(YEAR(A1567),1,1)))</f>
        <v/>
      </c>
      <c r="F1567">
        <f>IF(A1567="",0,SUMIF(Rechner!$A$12:$A$21,A1567,Rechner!$B$12:$B$21))</f>
        <v/>
      </c>
      <c r="G1567">
        <f>H1566+E1567</f>
        <v/>
      </c>
      <c r="H1567">
        <f>G1567-MIN(F1567,G1567)</f>
        <v/>
      </c>
      <c r="I1567">
        <f>MIN(F1567-MIN(F1567,G1567),D1567)</f>
        <v/>
      </c>
      <c r="J1567">
        <f>D1567-I1567</f>
        <v/>
      </c>
      <c r="K1567">
        <f>F1567-MIN(F1567,G1567)-I1567</f>
        <v/>
      </c>
    </row>
    <row r="1568">
      <c r="A1568" s="21">
        <f>IF(Rechner!$E$4&lt;&gt;"ok","",IF(Rechner!$E$5+1566&lt;=Rechner!$B$6,Rechner!$E$5+1566,""))</f>
        <v/>
      </c>
      <c r="B1568">
        <f>IF(A1568="","",LOOKUP(A1568,Basiszins!$A$5:$A$18,Basiszins!$B$5:$B$18))</f>
        <v/>
      </c>
      <c r="C1568">
        <f>IF(A1568="","",B1568+Rechner!$E$7)</f>
        <v/>
      </c>
      <c r="D1568">
        <f>J1567</f>
        <v/>
      </c>
      <c r="E1568">
        <f>IF(A1568="",0,D1568*C1568/100/(DATE(YEAR(A1568)+1,1,1)-DATE(YEAR(A1568),1,1)))</f>
        <v/>
      </c>
      <c r="F1568">
        <f>IF(A1568="",0,SUMIF(Rechner!$A$12:$A$21,A1568,Rechner!$B$12:$B$21))</f>
        <v/>
      </c>
      <c r="G1568">
        <f>H1567+E1568</f>
        <v/>
      </c>
      <c r="H1568">
        <f>G1568-MIN(F1568,G1568)</f>
        <v/>
      </c>
      <c r="I1568">
        <f>MIN(F1568-MIN(F1568,G1568),D1568)</f>
        <v/>
      </c>
      <c r="J1568">
        <f>D1568-I1568</f>
        <v/>
      </c>
      <c r="K1568">
        <f>F1568-MIN(F1568,G1568)-I1568</f>
        <v/>
      </c>
    </row>
    <row r="1569">
      <c r="A1569" s="21">
        <f>IF(Rechner!$E$4&lt;&gt;"ok","",IF(Rechner!$E$5+1567&lt;=Rechner!$B$6,Rechner!$E$5+1567,""))</f>
        <v/>
      </c>
      <c r="B1569">
        <f>IF(A1569="","",LOOKUP(A1569,Basiszins!$A$5:$A$18,Basiszins!$B$5:$B$18))</f>
        <v/>
      </c>
      <c r="C1569">
        <f>IF(A1569="","",B1569+Rechner!$E$7)</f>
        <v/>
      </c>
      <c r="D1569">
        <f>J1568</f>
        <v/>
      </c>
      <c r="E1569">
        <f>IF(A1569="",0,D1569*C1569/100/(DATE(YEAR(A1569)+1,1,1)-DATE(YEAR(A1569),1,1)))</f>
        <v/>
      </c>
      <c r="F1569">
        <f>IF(A1569="",0,SUMIF(Rechner!$A$12:$A$21,A1569,Rechner!$B$12:$B$21))</f>
        <v/>
      </c>
      <c r="G1569">
        <f>H1568+E1569</f>
        <v/>
      </c>
      <c r="H1569">
        <f>G1569-MIN(F1569,G1569)</f>
        <v/>
      </c>
      <c r="I1569">
        <f>MIN(F1569-MIN(F1569,G1569),D1569)</f>
        <v/>
      </c>
      <c r="J1569">
        <f>D1569-I1569</f>
        <v/>
      </c>
      <c r="K1569">
        <f>F1569-MIN(F1569,G1569)-I1569</f>
        <v/>
      </c>
    </row>
    <row r="1570">
      <c r="A1570" s="21">
        <f>IF(Rechner!$E$4&lt;&gt;"ok","",IF(Rechner!$E$5+1568&lt;=Rechner!$B$6,Rechner!$E$5+1568,""))</f>
        <v/>
      </c>
      <c r="B1570">
        <f>IF(A1570="","",LOOKUP(A1570,Basiszins!$A$5:$A$18,Basiszins!$B$5:$B$18))</f>
        <v/>
      </c>
      <c r="C1570">
        <f>IF(A1570="","",B1570+Rechner!$E$7)</f>
        <v/>
      </c>
      <c r="D1570">
        <f>J1569</f>
        <v/>
      </c>
      <c r="E1570">
        <f>IF(A1570="",0,D1570*C1570/100/(DATE(YEAR(A1570)+1,1,1)-DATE(YEAR(A1570),1,1)))</f>
        <v/>
      </c>
      <c r="F1570">
        <f>IF(A1570="",0,SUMIF(Rechner!$A$12:$A$21,A1570,Rechner!$B$12:$B$21))</f>
        <v/>
      </c>
      <c r="G1570">
        <f>H1569+E1570</f>
        <v/>
      </c>
      <c r="H1570">
        <f>G1570-MIN(F1570,G1570)</f>
        <v/>
      </c>
      <c r="I1570">
        <f>MIN(F1570-MIN(F1570,G1570),D1570)</f>
        <v/>
      </c>
      <c r="J1570">
        <f>D1570-I1570</f>
        <v/>
      </c>
      <c r="K1570">
        <f>F1570-MIN(F1570,G1570)-I1570</f>
        <v/>
      </c>
    </row>
    <row r="1571">
      <c r="A1571" s="21">
        <f>IF(Rechner!$E$4&lt;&gt;"ok","",IF(Rechner!$E$5+1569&lt;=Rechner!$B$6,Rechner!$E$5+1569,""))</f>
        <v/>
      </c>
      <c r="B1571">
        <f>IF(A1571="","",LOOKUP(A1571,Basiszins!$A$5:$A$18,Basiszins!$B$5:$B$18))</f>
        <v/>
      </c>
      <c r="C1571">
        <f>IF(A1571="","",B1571+Rechner!$E$7)</f>
        <v/>
      </c>
      <c r="D1571">
        <f>J1570</f>
        <v/>
      </c>
      <c r="E1571">
        <f>IF(A1571="",0,D1571*C1571/100/(DATE(YEAR(A1571)+1,1,1)-DATE(YEAR(A1571),1,1)))</f>
        <v/>
      </c>
      <c r="F1571">
        <f>IF(A1571="",0,SUMIF(Rechner!$A$12:$A$21,A1571,Rechner!$B$12:$B$21))</f>
        <v/>
      </c>
      <c r="G1571">
        <f>H1570+E1571</f>
        <v/>
      </c>
      <c r="H1571">
        <f>G1571-MIN(F1571,G1571)</f>
        <v/>
      </c>
      <c r="I1571">
        <f>MIN(F1571-MIN(F1571,G1571),D1571)</f>
        <v/>
      </c>
      <c r="J1571">
        <f>D1571-I1571</f>
        <v/>
      </c>
      <c r="K1571">
        <f>F1571-MIN(F1571,G1571)-I1571</f>
        <v/>
      </c>
    </row>
    <row r="1572">
      <c r="A1572" s="21">
        <f>IF(Rechner!$E$4&lt;&gt;"ok","",IF(Rechner!$E$5+1570&lt;=Rechner!$B$6,Rechner!$E$5+1570,""))</f>
        <v/>
      </c>
      <c r="B1572">
        <f>IF(A1572="","",LOOKUP(A1572,Basiszins!$A$5:$A$18,Basiszins!$B$5:$B$18))</f>
        <v/>
      </c>
      <c r="C1572">
        <f>IF(A1572="","",B1572+Rechner!$E$7)</f>
        <v/>
      </c>
      <c r="D1572">
        <f>J1571</f>
        <v/>
      </c>
      <c r="E1572">
        <f>IF(A1572="",0,D1572*C1572/100/(DATE(YEAR(A1572)+1,1,1)-DATE(YEAR(A1572),1,1)))</f>
        <v/>
      </c>
      <c r="F1572">
        <f>IF(A1572="",0,SUMIF(Rechner!$A$12:$A$21,A1572,Rechner!$B$12:$B$21))</f>
        <v/>
      </c>
      <c r="G1572">
        <f>H1571+E1572</f>
        <v/>
      </c>
      <c r="H1572">
        <f>G1572-MIN(F1572,G1572)</f>
        <v/>
      </c>
      <c r="I1572">
        <f>MIN(F1572-MIN(F1572,G1572),D1572)</f>
        <v/>
      </c>
      <c r="J1572">
        <f>D1572-I1572</f>
        <v/>
      </c>
      <c r="K1572">
        <f>F1572-MIN(F1572,G1572)-I1572</f>
        <v/>
      </c>
    </row>
    <row r="1573">
      <c r="A1573" s="21">
        <f>IF(Rechner!$E$4&lt;&gt;"ok","",IF(Rechner!$E$5+1571&lt;=Rechner!$B$6,Rechner!$E$5+1571,""))</f>
        <v/>
      </c>
      <c r="B1573">
        <f>IF(A1573="","",LOOKUP(A1573,Basiszins!$A$5:$A$18,Basiszins!$B$5:$B$18))</f>
        <v/>
      </c>
      <c r="C1573">
        <f>IF(A1573="","",B1573+Rechner!$E$7)</f>
        <v/>
      </c>
      <c r="D1573">
        <f>J1572</f>
        <v/>
      </c>
      <c r="E1573">
        <f>IF(A1573="",0,D1573*C1573/100/(DATE(YEAR(A1573)+1,1,1)-DATE(YEAR(A1573),1,1)))</f>
        <v/>
      </c>
      <c r="F1573">
        <f>IF(A1573="",0,SUMIF(Rechner!$A$12:$A$21,A1573,Rechner!$B$12:$B$21))</f>
        <v/>
      </c>
      <c r="G1573">
        <f>H1572+E1573</f>
        <v/>
      </c>
      <c r="H1573">
        <f>G1573-MIN(F1573,G1573)</f>
        <v/>
      </c>
      <c r="I1573">
        <f>MIN(F1573-MIN(F1573,G1573),D1573)</f>
        <v/>
      </c>
      <c r="J1573">
        <f>D1573-I1573</f>
        <v/>
      </c>
      <c r="K1573">
        <f>F1573-MIN(F1573,G1573)-I1573</f>
        <v/>
      </c>
    </row>
    <row r="1574">
      <c r="A1574" s="21">
        <f>IF(Rechner!$E$4&lt;&gt;"ok","",IF(Rechner!$E$5+1572&lt;=Rechner!$B$6,Rechner!$E$5+1572,""))</f>
        <v/>
      </c>
      <c r="B1574">
        <f>IF(A1574="","",LOOKUP(A1574,Basiszins!$A$5:$A$18,Basiszins!$B$5:$B$18))</f>
        <v/>
      </c>
      <c r="C1574">
        <f>IF(A1574="","",B1574+Rechner!$E$7)</f>
        <v/>
      </c>
      <c r="D1574">
        <f>J1573</f>
        <v/>
      </c>
      <c r="E1574">
        <f>IF(A1574="",0,D1574*C1574/100/(DATE(YEAR(A1574)+1,1,1)-DATE(YEAR(A1574),1,1)))</f>
        <v/>
      </c>
      <c r="F1574">
        <f>IF(A1574="",0,SUMIF(Rechner!$A$12:$A$21,A1574,Rechner!$B$12:$B$21))</f>
        <v/>
      </c>
      <c r="G1574">
        <f>H1573+E1574</f>
        <v/>
      </c>
      <c r="H1574">
        <f>G1574-MIN(F1574,G1574)</f>
        <v/>
      </c>
      <c r="I1574">
        <f>MIN(F1574-MIN(F1574,G1574),D1574)</f>
        <v/>
      </c>
      <c r="J1574">
        <f>D1574-I1574</f>
        <v/>
      </c>
      <c r="K1574">
        <f>F1574-MIN(F1574,G1574)-I1574</f>
        <v/>
      </c>
    </row>
    <row r="1575">
      <c r="A1575" s="21">
        <f>IF(Rechner!$E$4&lt;&gt;"ok","",IF(Rechner!$E$5+1573&lt;=Rechner!$B$6,Rechner!$E$5+1573,""))</f>
        <v/>
      </c>
      <c r="B1575">
        <f>IF(A1575="","",LOOKUP(A1575,Basiszins!$A$5:$A$18,Basiszins!$B$5:$B$18))</f>
        <v/>
      </c>
      <c r="C1575">
        <f>IF(A1575="","",B1575+Rechner!$E$7)</f>
        <v/>
      </c>
      <c r="D1575">
        <f>J1574</f>
        <v/>
      </c>
      <c r="E1575">
        <f>IF(A1575="",0,D1575*C1575/100/(DATE(YEAR(A1575)+1,1,1)-DATE(YEAR(A1575),1,1)))</f>
        <v/>
      </c>
      <c r="F1575">
        <f>IF(A1575="",0,SUMIF(Rechner!$A$12:$A$21,A1575,Rechner!$B$12:$B$21))</f>
        <v/>
      </c>
      <c r="G1575">
        <f>H1574+E1575</f>
        <v/>
      </c>
      <c r="H1575">
        <f>G1575-MIN(F1575,G1575)</f>
        <v/>
      </c>
      <c r="I1575">
        <f>MIN(F1575-MIN(F1575,G1575),D1575)</f>
        <v/>
      </c>
      <c r="J1575">
        <f>D1575-I1575</f>
        <v/>
      </c>
      <c r="K1575">
        <f>F1575-MIN(F1575,G1575)-I1575</f>
        <v/>
      </c>
    </row>
    <row r="1576">
      <c r="A1576" s="21">
        <f>IF(Rechner!$E$4&lt;&gt;"ok","",IF(Rechner!$E$5+1574&lt;=Rechner!$B$6,Rechner!$E$5+1574,""))</f>
        <v/>
      </c>
      <c r="B1576">
        <f>IF(A1576="","",LOOKUP(A1576,Basiszins!$A$5:$A$18,Basiszins!$B$5:$B$18))</f>
        <v/>
      </c>
      <c r="C1576">
        <f>IF(A1576="","",B1576+Rechner!$E$7)</f>
        <v/>
      </c>
      <c r="D1576">
        <f>J1575</f>
        <v/>
      </c>
      <c r="E1576">
        <f>IF(A1576="",0,D1576*C1576/100/(DATE(YEAR(A1576)+1,1,1)-DATE(YEAR(A1576),1,1)))</f>
        <v/>
      </c>
      <c r="F1576">
        <f>IF(A1576="",0,SUMIF(Rechner!$A$12:$A$21,A1576,Rechner!$B$12:$B$21))</f>
        <v/>
      </c>
      <c r="G1576">
        <f>H1575+E1576</f>
        <v/>
      </c>
      <c r="H1576">
        <f>G1576-MIN(F1576,G1576)</f>
        <v/>
      </c>
      <c r="I1576">
        <f>MIN(F1576-MIN(F1576,G1576),D1576)</f>
        <v/>
      </c>
      <c r="J1576">
        <f>D1576-I1576</f>
        <v/>
      </c>
      <c r="K1576">
        <f>F1576-MIN(F1576,G1576)-I1576</f>
        <v/>
      </c>
    </row>
    <row r="1577">
      <c r="A1577" s="21">
        <f>IF(Rechner!$E$4&lt;&gt;"ok","",IF(Rechner!$E$5+1575&lt;=Rechner!$B$6,Rechner!$E$5+1575,""))</f>
        <v/>
      </c>
      <c r="B1577">
        <f>IF(A1577="","",LOOKUP(A1577,Basiszins!$A$5:$A$18,Basiszins!$B$5:$B$18))</f>
        <v/>
      </c>
      <c r="C1577">
        <f>IF(A1577="","",B1577+Rechner!$E$7)</f>
        <v/>
      </c>
      <c r="D1577">
        <f>J1576</f>
        <v/>
      </c>
      <c r="E1577">
        <f>IF(A1577="",0,D1577*C1577/100/(DATE(YEAR(A1577)+1,1,1)-DATE(YEAR(A1577),1,1)))</f>
        <v/>
      </c>
      <c r="F1577">
        <f>IF(A1577="",0,SUMIF(Rechner!$A$12:$A$21,A1577,Rechner!$B$12:$B$21))</f>
        <v/>
      </c>
      <c r="G1577">
        <f>H1576+E1577</f>
        <v/>
      </c>
      <c r="H1577">
        <f>G1577-MIN(F1577,G1577)</f>
        <v/>
      </c>
      <c r="I1577">
        <f>MIN(F1577-MIN(F1577,G1577),D1577)</f>
        <v/>
      </c>
      <c r="J1577">
        <f>D1577-I1577</f>
        <v/>
      </c>
      <c r="K1577">
        <f>F1577-MIN(F1577,G1577)-I1577</f>
        <v/>
      </c>
    </row>
    <row r="1578">
      <c r="A1578" s="21">
        <f>IF(Rechner!$E$4&lt;&gt;"ok","",IF(Rechner!$E$5+1576&lt;=Rechner!$B$6,Rechner!$E$5+1576,""))</f>
        <v/>
      </c>
      <c r="B1578">
        <f>IF(A1578="","",LOOKUP(A1578,Basiszins!$A$5:$A$18,Basiszins!$B$5:$B$18))</f>
        <v/>
      </c>
      <c r="C1578">
        <f>IF(A1578="","",B1578+Rechner!$E$7)</f>
        <v/>
      </c>
      <c r="D1578">
        <f>J1577</f>
        <v/>
      </c>
      <c r="E1578">
        <f>IF(A1578="",0,D1578*C1578/100/(DATE(YEAR(A1578)+1,1,1)-DATE(YEAR(A1578),1,1)))</f>
        <v/>
      </c>
      <c r="F1578">
        <f>IF(A1578="",0,SUMIF(Rechner!$A$12:$A$21,A1578,Rechner!$B$12:$B$21))</f>
        <v/>
      </c>
      <c r="G1578">
        <f>H1577+E1578</f>
        <v/>
      </c>
      <c r="H1578">
        <f>G1578-MIN(F1578,G1578)</f>
        <v/>
      </c>
      <c r="I1578">
        <f>MIN(F1578-MIN(F1578,G1578),D1578)</f>
        <v/>
      </c>
      <c r="J1578">
        <f>D1578-I1578</f>
        <v/>
      </c>
      <c r="K1578">
        <f>F1578-MIN(F1578,G1578)-I1578</f>
        <v/>
      </c>
    </row>
    <row r="1579">
      <c r="A1579" s="21">
        <f>IF(Rechner!$E$4&lt;&gt;"ok","",IF(Rechner!$E$5+1577&lt;=Rechner!$B$6,Rechner!$E$5+1577,""))</f>
        <v/>
      </c>
      <c r="B1579">
        <f>IF(A1579="","",LOOKUP(A1579,Basiszins!$A$5:$A$18,Basiszins!$B$5:$B$18))</f>
        <v/>
      </c>
      <c r="C1579">
        <f>IF(A1579="","",B1579+Rechner!$E$7)</f>
        <v/>
      </c>
      <c r="D1579">
        <f>J1578</f>
        <v/>
      </c>
      <c r="E1579">
        <f>IF(A1579="",0,D1579*C1579/100/(DATE(YEAR(A1579)+1,1,1)-DATE(YEAR(A1579),1,1)))</f>
        <v/>
      </c>
      <c r="F1579">
        <f>IF(A1579="",0,SUMIF(Rechner!$A$12:$A$21,A1579,Rechner!$B$12:$B$21))</f>
        <v/>
      </c>
      <c r="G1579">
        <f>H1578+E1579</f>
        <v/>
      </c>
      <c r="H1579">
        <f>G1579-MIN(F1579,G1579)</f>
        <v/>
      </c>
      <c r="I1579">
        <f>MIN(F1579-MIN(F1579,G1579),D1579)</f>
        <v/>
      </c>
      <c r="J1579">
        <f>D1579-I1579</f>
        <v/>
      </c>
      <c r="K1579">
        <f>F1579-MIN(F1579,G1579)-I1579</f>
        <v/>
      </c>
    </row>
    <row r="1580">
      <c r="A1580" s="21">
        <f>IF(Rechner!$E$4&lt;&gt;"ok","",IF(Rechner!$E$5+1578&lt;=Rechner!$B$6,Rechner!$E$5+1578,""))</f>
        <v/>
      </c>
      <c r="B1580">
        <f>IF(A1580="","",LOOKUP(A1580,Basiszins!$A$5:$A$18,Basiszins!$B$5:$B$18))</f>
        <v/>
      </c>
      <c r="C1580">
        <f>IF(A1580="","",B1580+Rechner!$E$7)</f>
        <v/>
      </c>
      <c r="D1580">
        <f>J1579</f>
        <v/>
      </c>
      <c r="E1580">
        <f>IF(A1580="",0,D1580*C1580/100/(DATE(YEAR(A1580)+1,1,1)-DATE(YEAR(A1580),1,1)))</f>
        <v/>
      </c>
      <c r="F1580">
        <f>IF(A1580="",0,SUMIF(Rechner!$A$12:$A$21,A1580,Rechner!$B$12:$B$21))</f>
        <v/>
      </c>
      <c r="G1580">
        <f>H1579+E1580</f>
        <v/>
      </c>
      <c r="H1580">
        <f>G1580-MIN(F1580,G1580)</f>
        <v/>
      </c>
      <c r="I1580">
        <f>MIN(F1580-MIN(F1580,G1580),D1580)</f>
        <v/>
      </c>
      <c r="J1580">
        <f>D1580-I1580</f>
        <v/>
      </c>
      <c r="K1580">
        <f>F1580-MIN(F1580,G1580)-I1580</f>
        <v/>
      </c>
    </row>
    <row r="1581">
      <c r="A1581" s="21">
        <f>IF(Rechner!$E$4&lt;&gt;"ok","",IF(Rechner!$E$5+1579&lt;=Rechner!$B$6,Rechner!$E$5+1579,""))</f>
        <v/>
      </c>
      <c r="B1581">
        <f>IF(A1581="","",LOOKUP(A1581,Basiszins!$A$5:$A$18,Basiszins!$B$5:$B$18))</f>
        <v/>
      </c>
      <c r="C1581">
        <f>IF(A1581="","",B1581+Rechner!$E$7)</f>
        <v/>
      </c>
      <c r="D1581">
        <f>J1580</f>
        <v/>
      </c>
      <c r="E1581">
        <f>IF(A1581="",0,D1581*C1581/100/(DATE(YEAR(A1581)+1,1,1)-DATE(YEAR(A1581),1,1)))</f>
        <v/>
      </c>
      <c r="F1581">
        <f>IF(A1581="",0,SUMIF(Rechner!$A$12:$A$21,A1581,Rechner!$B$12:$B$21))</f>
        <v/>
      </c>
      <c r="G1581">
        <f>H1580+E1581</f>
        <v/>
      </c>
      <c r="H1581">
        <f>G1581-MIN(F1581,G1581)</f>
        <v/>
      </c>
      <c r="I1581">
        <f>MIN(F1581-MIN(F1581,G1581),D1581)</f>
        <v/>
      </c>
      <c r="J1581">
        <f>D1581-I1581</f>
        <v/>
      </c>
      <c r="K1581">
        <f>F1581-MIN(F1581,G1581)-I1581</f>
        <v/>
      </c>
    </row>
    <row r="1582">
      <c r="A1582" s="21">
        <f>IF(Rechner!$E$4&lt;&gt;"ok","",IF(Rechner!$E$5+1580&lt;=Rechner!$B$6,Rechner!$E$5+1580,""))</f>
        <v/>
      </c>
      <c r="B1582">
        <f>IF(A1582="","",LOOKUP(A1582,Basiszins!$A$5:$A$18,Basiszins!$B$5:$B$18))</f>
        <v/>
      </c>
      <c r="C1582">
        <f>IF(A1582="","",B1582+Rechner!$E$7)</f>
        <v/>
      </c>
      <c r="D1582">
        <f>J1581</f>
        <v/>
      </c>
      <c r="E1582">
        <f>IF(A1582="",0,D1582*C1582/100/(DATE(YEAR(A1582)+1,1,1)-DATE(YEAR(A1582),1,1)))</f>
        <v/>
      </c>
      <c r="F1582">
        <f>IF(A1582="",0,SUMIF(Rechner!$A$12:$A$21,A1582,Rechner!$B$12:$B$21))</f>
        <v/>
      </c>
      <c r="G1582">
        <f>H1581+E1582</f>
        <v/>
      </c>
      <c r="H1582">
        <f>G1582-MIN(F1582,G1582)</f>
        <v/>
      </c>
      <c r="I1582">
        <f>MIN(F1582-MIN(F1582,G1582),D1582)</f>
        <v/>
      </c>
      <c r="J1582">
        <f>D1582-I1582</f>
        <v/>
      </c>
      <c r="K1582">
        <f>F1582-MIN(F1582,G1582)-I1582</f>
        <v/>
      </c>
    </row>
    <row r="1583">
      <c r="A1583" s="21">
        <f>IF(Rechner!$E$4&lt;&gt;"ok","",IF(Rechner!$E$5+1581&lt;=Rechner!$B$6,Rechner!$E$5+1581,""))</f>
        <v/>
      </c>
      <c r="B1583">
        <f>IF(A1583="","",LOOKUP(A1583,Basiszins!$A$5:$A$18,Basiszins!$B$5:$B$18))</f>
        <v/>
      </c>
      <c r="C1583">
        <f>IF(A1583="","",B1583+Rechner!$E$7)</f>
        <v/>
      </c>
      <c r="D1583">
        <f>J1582</f>
        <v/>
      </c>
      <c r="E1583">
        <f>IF(A1583="",0,D1583*C1583/100/(DATE(YEAR(A1583)+1,1,1)-DATE(YEAR(A1583),1,1)))</f>
        <v/>
      </c>
      <c r="F1583">
        <f>IF(A1583="",0,SUMIF(Rechner!$A$12:$A$21,A1583,Rechner!$B$12:$B$21))</f>
        <v/>
      </c>
      <c r="G1583">
        <f>H1582+E1583</f>
        <v/>
      </c>
      <c r="H1583">
        <f>G1583-MIN(F1583,G1583)</f>
        <v/>
      </c>
      <c r="I1583">
        <f>MIN(F1583-MIN(F1583,G1583),D1583)</f>
        <v/>
      </c>
      <c r="J1583">
        <f>D1583-I1583</f>
        <v/>
      </c>
      <c r="K1583">
        <f>F1583-MIN(F1583,G1583)-I1583</f>
        <v/>
      </c>
    </row>
    <row r="1584">
      <c r="A1584" s="21">
        <f>IF(Rechner!$E$4&lt;&gt;"ok","",IF(Rechner!$E$5+1582&lt;=Rechner!$B$6,Rechner!$E$5+1582,""))</f>
        <v/>
      </c>
      <c r="B1584">
        <f>IF(A1584="","",LOOKUP(A1584,Basiszins!$A$5:$A$18,Basiszins!$B$5:$B$18))</f>
        <v/>
      </c>
      <c r="C1584">
        <f>IF(A1584="","",B1584+Rechner!$E$7)</f>
        <v/>
      </c>
      <c r="D1584">
        <f>J1583</f>
        <v/>
      </c>
      <c r="E1584">
        <f>IF(A1584="",0,D1584*C1584/100/(DATE(YEAR(A1584)+1,1,1)-DATE(YEAR(A1584),1,1)))</f>
        <v/>
      </c>
      <c r="F1584">
        <f>IF(A1584="",0,SUMIF(Rechner!$A$12:$A$21,A1584,Rechner!$B$12:$B$21))</f>
        <v/>
      </c>
      <c r="G1584">
        <f>H1583+E1584</f>
        <v/>
      </c>
      <c r="H1584">
        <f>G1584-MIN(F1584,G1584)</f>
        <v/>
      </c>
      <c r="I1584">
        <f>MIN(F1584-MIN(F1584,G1584),D1584)</f>
        <v/>
      </c>
      <c r="J1584">
        <f>D1584-I1584</f>
        <v/>
      </c>
      <c r="K1584">
        <f>F1584-MIN(F1584,G1584)-I1584</f>
        <v/>
      </c>
    </row>
    <row r="1585">
      <c r="A1585" s="21">
        <f>IF(Rechner!$E$4&lt;&gt;"ok","",IF(Rechner!$E$5+1583&lt;=Rechner!$B$6,Rechner!$E$5+1583,""))</f>
        <v/>
      </c>
      <c r="B1585">
        <f>IF(A1585="","",LOOKUP(A1585,Basiszins!$A$5:$A$18,Basiszins!$B$5:$B$18))</f>
        <v/>
      </c>
      <c r="C1585">
        <f>IF(A1585="","",B1585+Rechner!$E$7)</f>
        <v/>
      </c>
      <c r="D1585">
        <f>J1584</f>
        <v/>
      </c>
      <c r="E1585">
        <f>IF(A1585="",0,D1585*C1585/100/(DATE(YEAR(A1585)+1,1,1)-DATE(YEAR(A1585),1,1)))</f>
        <v/>
      </c>
      <c r="F1585">
        <f>IF(A1585="",0,SUMIF(Rechner!$A$12:$A$21,A1585,Rechner!$B$12:$B$21))</f>
        <v/>
      </c>
      <c r="G1585">
        <f>H1584+E1585</f>
        <v/>
      </c>
      <c r="H1585">
        <f>G1585-MIN(F1585,G1585)</f>
        <v/>
      </c>
      <c r="I1585">
        <f>MIN(F1585-MIN(F1585,G1585),D1585)</f>
        <v/>
      </c>
      <c r="J1585">
        <f>D1585-I1585</f>
        <v/>
      </c>
      <c r="K1585">
        <f>F1585-MIN(F1585,G1585)-I1585</f>
        <v/>
      </c>
    </row>
    <row r="1586">
      <c r="A1586" s="21">
        <f>IF(Rechner!$E$4&lt;&gt;"ok","",IF(Rechner!$E$5+1584&lt;=Rechner!$B$6,Rechner!$E$5+1584,""))</f>
        <v/>
      </c>
      <c r="B1586">
        <f>IF(A1586="","",LOOKUP(A1586,Basiszins!$A$5:$A$18,Basiszins!$B$5:$B$18))</f>
        <v/>
      </c>
      <c r="C1586">
        <f>IF(A1586="","",B1586+Rechner!$E$7)</f>
        <v/>
      </c>
      <c r="D1586">
        <f>J1585</f>
        <v/>
      </c>
      <c r="E1586">
        <f>IF(A1586="",0,D1586*C1586/100/(DATE(YEAR(A1586)+1,1,1)-DATE(YEAR(A1586),1,1)))</f>
        <v/>
      </c>
      <c r="F1586">
        <f>IF(A1586="",0,SUMIF(Rechner!$A$12:$A$21,A1586,Rechner!$B$12:$B$21))</f>
        <v/>
      </c>
      <c r="G1586">
        <f>H1585+E1586</f>
        <v/>
      </c>
      <c r="H1586">
        <f>G1586-MIN(F1586,G1586)</f>
        <v/>
      </c>
      <c r="I1586">
        <f>MIN(F1586-MIN(F1586,G1586),D1586)</f>
        <v/>
      </c>
      <c r="J1586">
        <f>D1586-I1586</f>
        <v/>
      </c>
      <c r="K1586">
        <f>F1586-MIN(F1586,G1586)-I1586</f>
        <v/>
      </c>
    </row>
    <row r="1587">
      <c r="A1587" s="21">
        <f>IF(Rechner!$E$4&lt;&gt;"ok","",IF(Rechner!$E$5+1585&lt;=Rechner!$B$6,Rechner!$E$5+1585,""))</f>
        <v/>
      </c>
      <c r="B1587">
        <f>IF(A1587="","",LOOKUP(A1587,Basiszins!$A$5:$A$18,Basiszins!$B$5:$B$18))</f>
        <v/>
      </c>
      <c r="C1587">
        <f>IF(A1587="","",B1587+Rechner!$E$7)</f>
        <v/>
      </c>
      <c r="D1587">
        <f>J1586</f>
        <v/>
      </c>
      <c r="E1587">
        <f>IF(A1587="",0,D1587*C1587/100/(DATE(YEAR(A1587)+1,1,1)-DATE(YEAR(A1587),1,1)))</f>
        <v/>
      </c>
      <c r="F1587">
        <f>IF(A1587="",0,SUMIF(Rechner!$A$12:$A$21,A1587,Rechner!$B$12:$B$21))</f>
        <v/>
      </c>
      <c r="G1587">
        <f>H1586+E1587</f>
        <v/>
      </c>
      <c r="H1587">
        <f>G1587-MIN(F1587,G1587)</f>
        <v/>
      </c>
      <c r="I1587">
        <f>MIN(F1587-MIN(F1587,G1587),D1587)</f>
        <v/>
      </c>
      <c r="J1587">
        <f>D1587-I1587</f>
        <v/>
      </c>
      <c r="K1587">
        <f>F1587-MIN(F1587,G1587)-I1587</f>
        <v/>
      </c>
    </row>
    <row r="1588">
      <c r="A1588" s="21">
        <f>IF(Rechner!$E$4&lt;&gt;"ok","",IF(Rechner!$E$5+1586&lt;=Rechner!$B$6,Rechner!$E$5+1586,""))</f>
        <v/>
      </c>
      <c r="B1588">
        <f>IF(A1588="","",LOOKUP(A1588,Basiszins!$A$5:$A$18,Basiszins!$B$5:$B$18))</f>
        <v/>
      </c>
      <c r="C1588">
        <f>IF(A1588="","",B1588+Rechner!$E$7)</f>
        <v/>
      </c>
      <c r="D1588">
        <f>J1587</f>
        <v/>
      </c>
      <c r="E1588">
        <f>IF(A1588="",0,D1588*C1588/100/(DATE(YEAR(A1588)+1,1,1)-DATE(YEAR(A1588),1,1)))</f>
        <v/>
      </c>
      <c r="F1588">
        <f>IF(A1588="",0,SUMIF(Rechner!$A$12:$A$21,A1588,Rechner!$B$12:$B$21))</f>
        <v/>
      </c>
      <c r="G1588">
        <f>H1587+E1588</f>
        <v/>
      </c>
      <c r="H1588">
        <f>G1588-MIN(F1588,G1588)</f>
        <v/>
      </c>
      <c r="I1588">
        <f>MIN(F1588-MIN(F1588,G1588),D1588)</f>
        <v/>
      </c>
      <c r="J1588">
        <f>D1588-I1588</f>
        <v/>
      </c>
      <c r="K1588">
        <f>F1588-MIN(F1588,G1588)-I1588</f>
        <v/>
      </c>
    </row>
    <row r="1589">
      <c r="A1589" s="21">
        <f>IF(Rechner!$E$4&lt;&gt;"ok","",IF(Rechner!$E$5+1587&lt;=Rechner!$B$6,Rechner!$E$5+1587,""))</f>
        <v/>
      </c>
      <c r="B1589">
        <f>IF(A1589="","",LOOKUP(A1589,Basiszins!$A$5:$A$18,Basiszins!$B$5:$B$18))</f>
        <v/>
      </c>
      <c r="C1589">
        <f>IF(A1589="","",B1589+Rechner!$E$7)</f>
        <v/>
      </c>
      <c r="D1589">
        <f>J1588</f>
        <v/>
      </c>
      <c r="E1589">
        <f>IF(A1589="",0,D1589*C1589/100/(DATE(YEAR(A1589)+1,1,1)-DATE(YEAR(A1589),1,1)))</f>
        <v/>
      </c>
      <c r="F1589">
        <f>IF(A1589="",0,SUMIF(Rechner!$A$12:$A$21,A1589,Rechner!$B$12:$B$21))</f>
        <v/>
      </c>
      <c r="G1589">
        <f>H1588+E1589</f>
        <v/>
      </c>
      <c r="H1589">
        <f>G1589-MIN(F1589,G1589)</f>
        <v/>
      </c>
      <c r="I1589">
        <f>MIN(F1589-MIN(F1589,G1589),D1589)</f>
        <v/>
      </c>
      <c r="J1589">
        <f>D1589-I1589</f>
        <v/>
      </c>
      <c r="K1589">
        <f>F1589-MIN(F1589,G1589)-I1589</f>
        <v/>
      </c>
    </row>
    <row r="1590">
      <c r="A1590" s="21">
        <f>IF(Rechner!$E$4&lt;&gt;"ok","",IF(Rechner!$E$5+1588&lt;=Rechner!$B$6,Rechner!$E$5+1588,""))</f>
        <v/>
      </c>
      <c r="B1590">
        <f>IF(A1590="","",LOOKUP(A1590,Basiszins!$A$5:$A$18,Basiszins!$B$5:$B$18))</f>
        <v/>
      </c>
      <c r="C1590">
        <f>IF(A1590="","",B1590+Rechner!$E$7)</f>
        <v/>
      </c>
      <c r="D1590">
        <f>J1589</f>
        <v/>
      </c>
      <c r="E1590">
        <f>IF(A1590="",0,D1590*C1590/100/(DATE(YEAR(A1590)+1,1,1)-DATE(YEAR(A1590),1,1)))</f>
        <v/>
      </c>
      <c r="F1590">
        <f>IF(A1590="",0,SUMIF(Rechner!$A$12:$A$21,A1590,Rechner!$B$12:$B$21))</f>
        <v/>
      </c>
      <c r="G1590">
        <f>H1589+E1590</f>
        <v/>
      </c>
      <c r="H1590">
        <f>G1590-MIN(F1590,G1590)</f>
        <v/>
      </c>
      <c r="I1590">
        <f>MIN(F1590-MIN(F1590,G1590),D1590)</f>
        <v/>
      </c>
      <c r="J1590">
        <f>D1590-I1590</f>
        <v/>
      </c>
      <c r="K1590">
        <f>F1590-MIN(F1590,G1590)-I1590</f>
        <v/>
      </c>
    </row>
    <row r="1591">
      <c r="A1591" s="21">
        <f>IF(Rechner!$E$4&lt;&gt;"ok","",IF(Rechner!$E$5+1589&lt;=Rechner!$B$6,Rechner!$E$5+1589,""))</f>
        <v/>
      </c>
      <c r="B1591">
        <f>IF(A1591="","",LOOKUP(A1591,Basiszins!$A$5:$A$18,Basiszins!$B$5:$B$18))</f>
        <v/>
      </c>
      <c r="C1591">
        <f>IF(A1591="","",B1591+Rechner!$E$7)</f>
        <v/>
      </c>
      <c r="D1591">
        <f>J1590</f>
        <v/>
      </c>
      <c r="E1591">
        <f>IF(A1591="",0,D1591*C1591/100/(DATE(YEAR(A1591)+1,1,1)-DATE(YEAR(A1591),1,1)))</f>
        <v/>
      </c>
      <c r="F1591">
        <f>IF(A1591="",0,SUMIF(Rechner!$A$12:$A$21,A1591,Rechner!$B$12:$B$21))</f>
        <v/>
      </c>
      <c r="G1591">
        <f>H1590+E1591</f>
        <v/>
      </c>
      <c r="H1591">
        <f>G1591-MIN(F1591,G1591)</f>
        <v/>
      </c>
      <c r="I1591">
        <f>MIN(F1591-MIN(F1591,G1591),D1591)</f>
        <v/>
      </c>
      <c r="J1591">
        <f>D1591-I1591</f>
        <v/>
      </c>
      <c r="K1591">
        <f>F1591-MIN(F1591,G1591)-I1591</f>
        <v/>
      </c>
    </row>
    <row r="1592">
      <c r="A1592" s="21">
        <f>IF(Rechner!$E$4&lt;&gt;"ok","",IF(Rechner!$E$5+1590&lt;=Rechner!$B$6,Rechner!$E$5+1590,""))</f>
        <v/>
      </c>
      <c r="B1592">
        <f>IF(A1592="","",LOOKUP(A1592,Basiszins!$A$5:$A$18,Basiszins!$B$5:$B$18))</f>
        <v/>
      </c>
      <c r="C1592">
        <f>IF(A1592="","",B1592+Rechner!$E$7)</f>
        <v/>
      </c>
      <c r="D1592">
        <f>J1591</f>
        <v/>
      </c>
      <c r="E1592">
        <f>IF(A1592="",0,D1592*C1592/100/(DATE(YEAR(A1592)+1,1,1)-DATE(YEAR(A1592),1,1)))</f>
        <v/>
      </c>
      <c r="F1592">
        <f>IF(A1592="",0,SUMIF(Rechner!$A$12:$A$21,A1592,Rechner!$B$12:$B$21))</f>
        <v/>
      </c>
      <c r="G1592">
        <f>H1591+E1592</f>
        <v/>
      </c>
      <c r="H1592">
        <f>G1592-MIN(F1592,G1592)</f>
        <v/>
      </c>
      <c r="I1592">
        <f>MIN(F1592-MIN(F1592,G1592),D1592)</f>
        <v/>
      </c>
      <c r="J1592">
        <f>D1592-I1592</f>
        <v/>
      </c>
      <c r="K1592">
        <f>F1592-MIN(F1592,G1592)-I1592</f>
        <v/>
      </c>
    </row>
    <row r="1593">
      <c r="A1593" s="21">
        <f>IF(Rechner!$E$4&lt;&gt;"ok","",IF(Rechner!$E$5+1591&lt;=Rechner!$B$6,Rechner!$E$5+1591,""))</f>
        <v/>
      </c>
      <c r="B1593">
        <f>IF(A1593="","",LOOKUP(A1593,Basiszins!$A$5:$A$18,Basiszins!$B$5:$B$18))</f>
        <v/>
      </c>
      <c r="C1593">
        <f>IF(A1593="","",B1593+Rechner!$E$7)</f>
        <v/>
      </c>
      <c r="D1593">
        <f>J1592</f>
        <v/>
      </c>
      <c r="E1593">
        <f>IF(A1593="",0,D1593*C1593/100/(DATE(YEAR(A1593)+1,1,1)-DATE(YEAR(A1593),1,1)))</f>
        <v/>
      </c>
      <c r="F1593">
        <f>IF(A1593="",0,SUMIF(Rechner!$A$12:$A$21,A1593,Rechner!$B$12:$B$21))</f>
        <v/>
      </c>
      <c r="G1593">
        <f>H1592+E1593</f>
        <v/>
      </c>
      <c r="H1593">
        <f>G1593-MIN(F1593,G1593)</f>
        <v/>
      </c>
      <c r="I1593">
        <f>MIN(F1593-MIN(F1593,G1593),D1593)</f>
        <v/>
      </c>
      <c r="J1593">
        <f>D1593-I1593</f>
        <v/>
      </c>
      <c r="K1593">
        <f>F1593-MIN(F1593,G1593)-I1593</f>
        <v/>
      </c>
    </row>
    <row r="1594">
      <c r="A1594" s="21">
        <f>IF(Rechner!$E$4&lt;&gt;"ok","",IF(Rechner!$E$5+1592&lt;=Rechner!$B$6,Rechner!$E$5+1592,""))</f>
        <v/>
      </c>
      <c r="B1594">
        <f>IF(A1594="","",LOOKUP(A1594,Basiszins!$A$5:$A$18,Basiszins!$B$5:$B$18))</f>
        <v/>
      </c>
      <c r="C1594">
        <f>IF(A1594="","",B1594+Rechner!$E$7)</f>
        <v/>
      </c>
      <c r="D1594">
        <f>J1593</f>
        <v/>
      </c>
      <c r="E1594">
        <f>IF(A1594="",0,D1594*C1594/100/(DATE(YEAR(A1594)+1,1,1)-DATE(YEAR(A1594),1,1)))</f>
        <v/>
      </c>
      <c r="F1594">
        <f>IF(A1594="",0,SUMIF(Rechner!$A$12:$A$21,A1594,Rechner!$B$12:$B$21))</f>
        <v/>
      </c>
      <c r="G1594">
        <f>H1593+E1594</f>
        <v/>
      </c>
      <c r="H1594">
        <f>G1594-MIN(F1594,G1594)</f>
        <v/>
      </c>
      <c r="I1594">
        <f>MIN(F1594-MIN(F1594,G1594),D1594)</f>
        <v/>
      </c>
      <c r="J1594">
        <f>D1594-I1594</f>
        <v/>
      </c>
      <c r="K1594">
        <f>F1594-MIN(F1594,G1594)-I1594</f>
        <v/>
      </c>
    </row>
    <row r="1595">
      <c r="A1595" s="21">
        <f>IF(Rechner!$E$4&lt;&gt;"ok","",IF(Rechner!$E$5+1593&lt;=Rechner!$B$6,Rechner!$E$5+1593,""))</f>
        <v/>
      </c>
      <c r="B1595">
        <f>IF(A1595="","",LOOKUP(A1595,Basiszins!$A$5:$A$18,Basiszins!$B$5:$B$18))</f>
        <v/>
      </c>
      <c r="C1595">
        <f>IF(A1595="","",B1595+Rechner!$E$7)</f>
        <v/>
      </c>
      <c r="D1595">
        <f>J1594</f>
        <v/>
      </c>
      <c r="E1595">
        <f>IF(A1595="",0,D1595*C1595/100/(DATE(YEAR(A1595)+1,1,1)-DATE(YEAR(A1595),1,1)))</f>
        <v/>
      </c>
      <c r="F1595">
        <f>IF(A1595="",0,SUMIF(Rechner!$A$12:$A$21,A1595,Rechner!$B$12:$B$21))</f>
        <v/>
      </c>
      <c r="G1595">
        <f>H1594+E1595</f>
        <v/>
      </c>
      <c r="H1595">
        <f>G1595-MIN(F1595,G1595)</f>
        <v/>
      </c>
      <c r="I1595">
        <f>MIN(F1595-MIN(F1595,G1595),D1595)</f>
        <v/>
      </c>
      <c r="J1595">
        <f>D1595-I1595</f>
        <v/>
      </c>
      <c r="K1595">
        <f>F1595-MIN(F1595,G1595)-I1595</f>
        <v/>
      </c>
    </row>
    <row r="1596">
      <c r="A1596" s="21">
        <f>IF(Rechner!$E$4&lt;&gt;"ok","",IF(Rechner!$E$5+1594&lt;=Rechner!$B$6,Rechner!$E$5+1594,""))</f>
        <v/>
      </c>
      <c r="B1596">
        <f>IF(A1596="","",LOOKUP(A1596,Basiszins!$A$5:$A$18,Basiszins!$B$5:$B$18))</f>
        <v/>
      </c>
      <c r="C1596">
        <f>IF(A1596="","",B1596+Rechner!$E$7)</f>
        <v/>
      </c>
      <c r="D1596">
        <f>J1595</f>
        <v/>
      </c>
      <c r="E1596">
        <f>IF(A1596="",0,D1596*C1596/100/(DATE(YEAR(A1596)+1,1,1)-DATE(YEAR(A1596),1,1)))</f>
        <v/>
      </c>
      <c r="F1596">
        <f>IF(A1596="",0,SUMIF(Rechner!$A$12:$A$21,A1596,Rechner!$B$12:$B$21))</f>
        <v/>
      </c>
      <c r="G1596">
        <f>H1595+E1596</f>
        <v/>
      </c>
      <c r="H1596">
        <f>G1596-MIN(F1596,G1596)</f>
        <v/>
      </c>
      <c r="I1596">
        <f>MIN(F1596-MIN(F1596,G1596),D1596)</f>
        <v/>
      </c>
      <c r="J1596">
        <f>D1596-I1596</f>
        <v/>
      </c>
      <c r="K1596">
        <f>F1596-MIN(F1596,G1596)-I1596</f>
        <v/>
      </c>
    </row>
    <row r="1597">
      <c r="A1597" s="21">
        <f>IF(Rechner!$E$4&lt;&gt;"ok","",IF(Rechner!$E$5+1595&lt;=Rechner!$B$6,Rechner!$E$5+1595,""))</f>
        <v/>
      </c>
      <c r="B1597">
        <f>IF(A1597="","",LOOKUP(A1597,Basiszins!$A$5:$A$18,Basiszins!$B$5:$B$18))</f>
        <v/>
      </c>
      <c r="C1597">
        <f>IF(A1597="","",B1597+Rechner!$E$7)</f>
        <v/>
      </c>
      <c r="D1597">
        <f>J1596</f>
        <v/>
      </c>
      <c r="E1597">
        <f>IF(A1597="",0,D1597*C1597/100/(DATE(YEAR(A1597)+1,1,1)-DATE(YEAR(A1597),1,1)))</f>
        <v/>
      </c>
      <c r="F1597">
        <f>IF(A1597="",0,SUMIF(Rechner!$A$12:$A$21,A1597,Rechner!$B$12:$B$21))</f>
        <v/>
      </c>
      <c r="G1597">
        <f>H1596+E1597</f>
        <v/>
      </c>
      <c r="H1597">
        <f>G1597-MIN(F1597,G1597)</f>
        <v/>
      </c>
      <c r="I1597">
        <f>MIN(F1597-MIN(F1597,G1597),D1597)</f>
        <v/>
      </c>
      <c r="J1597">
        <f>D1597-I1597</f>
        <v/>
      </c>
      <c r="K1597">
        <f>F1597-MIN(F1597,G1597)-I1597</f>
        <v/>
      </c>
    </row>
    <row r="1598">
      <c r="A1598" s="21">
        <f>IF(Rechner!$E$4&lt;&gt;"ok","",IF(Rechner!$E$5+1596&lt;=Rechner!$B$6,Rechner!$E$5+1596,""))</f>
        <v/>
      </c>
      <c r="B1598">
        <f>IF(A1598="","",LOOKUP(A1598,Basiszins!$A$5:$A$18,Basiszins!$B$5:$B$18))</f>
        <v/>
      </c>
      <c r="C1598">
        <f>IF(A1598="","",B1598+Rechner!$E$7)</f>
        <v/>
      </c>
      <c r="D1598">
        <f>J1597</f>
        <v/>
      </c>
      <c r="E1598">
        <f>IF(A1598="",0,D1598*C1598/100/(DATE(YEAR(A1598)+1,1,1)-DATE(YEAR(A1598),1,1)))</f>
        <v/>
      </c>
      <c r="F1598">
        <f>IF(A1598="",0,SUMIF(Rechner!$A$12:$A$21,A1598,Rechner!$B$12:$B$21))</f>
        <v/>
      </c>
      <c r="G1598">
        <f>H1597+E1598</f>
        <v/>
      </c>
      <c r="H1598">
        <f>G1598-MIN(F1598,G1598)</f>
        <v/>
      </c>
      <c r="I1598">
        <f>MIN(F1598-MIN(F1598,G1598),D1598)</f>
        <v/>
      </c>
      <c r="J1598">
        <f>D1598-I1598</f>
        <v/>
      </c>
      <c r="K1598">
        <f>F1598-MIN(F1598,G1598)-I1598</f>
        <v/>
      </c>
    </row>
    <row r="1599">
      <c r="A1599" s="21">
        <f>IF(Rechner!$E$4&lt;&gt;"ok","",IF(Rechner!$E$5+1597&lt;=Rechner!$B$6,Rechner!$E$5+1597,""))</f>
        <v/>
      </c>
      <c r="B1599">
        <f>IF(A1599="","",LOOKUP(A1599,Basiszins!$A$5:$A$18,Basiszins!$B$5:$B$18))</f>
        <v/>
      </c>
      <c r="C1599">
        <f>IF(A1599="","",B1599+Rechner!$E$7)</f>
        <v/>
      </c>
      <c r="D1599">
        <f>J1598</f>
        <v/>
      </c>
      <c r="E1599">
        <f>IF(A1599="",0,D1599*C1599/100/(DATE(YEAR(A1599)+1,1,1)-DATE(YEAR(A1599),1,1)))</f>
        <v/>
      </c>
      <c r="F1599">
        <f>IF(A1599="",0,SUMIF(Rechner!$A$12:$A$21,A1599,Rechner!$B$12:$B$21))</f>
        <v/>
      </c>
      <c r="G1599">
        <f>H1598+E1599</f>
        <v/>
      </c>
      <c r="H1599">
        <f>G1599-MIN(F1599,G1599)</f>
        <v/>
      </c>
      <c r="I1599">
        <f>MIN(F1599-MIN(F1599,G1599),D1599)</f>
        <v/>
      </c>
      <c r="J1599">
        <f>D1599-I1599</f>
        <v/>
      </c>
      <c r="K1599">
        <f>F1599-MIN(F1599,G1599)-I1599</f>
        <v/>
      </c>
    </row>
    <row r="1600">
      <c r="A1600" s="21">
        <f>IF(Rechner!$E$4&lt;&gt;"ok","",IF(Rechner!$E$5+1598&lt;=Rechner!$B$6,Rechner!$E$5+1598,""))</f>
        <v/>
      </c>
      <c r="B1600">
        <f>IF(A1600="","",LOOKUP(A1600,Basiszins!$A$5:$A$18,Basiszins!$B$5:$B$18))</f>
        <v/>
      </c>
      <c r="C1600">
        <f>IF(A1600="","",B1600+Rechner!$E$7)</f>
        <v/>
      </c>
      <c r="D1600">
        <f>J1599</f>
        <v/>
      </c>
      <c r="E1600">
        <f>IF(A1600="",0,D1600*C1600/100/(DATE(YEAR(A1600)+1,1,1)-DATE(YEAR(A1600),1,1)))</f>
        <v/>
      </c>
      <c r="F1600">
        <f>IF(A1600="",0,SUMIF(Rechner!$A$12:$A$21,A1600,Rechner!$B$12:$B$21))</f>
        <v/>
      </c>
      <c r="G1600">
        <f>H1599+E1600</f>
        <v/>
      </c>
      <c r="H1600">
        <f>G1600-MIN(F1600,G1600)</f>
        <v/>
      </c>
      <c r="I1600">
        <f>MIN(F1600-MIN(F1600,G1600),D1600)</f>
        <v/>
      </c>
      <c r="J1600">
        <f>D1600-I1600</f>
        <v/>
      </c>
      <c r="K1600">
        <f>F1600-MIN(F1600,G1600)-I1600</f>
        <v/>
      </c>
    </row>
    <row r="1601">
      <c r="A1601" s="21">
        <f>IF(Rechner!$E$4&lt;&gt;"ok","",IF(Rechner!$E$5+1599&lt;=Rechner!$B$6,Rechner!$E$5+1599,""))</f>
        <v/>
      </c>
      <c r="B1601">
        <f>IF(A1601="","",LOOKUP(A1601,Basiszins!$A$5:$A$18,Basiszins!$B$5:$B$18))</f>
        <v/>
      </c>
      <c r="C1601">
        <f>IF(A1601="","",B1601+Rechner!$E$7)</f>
        <v/>
      </c>
      <c r="D1601">
        <f>J1600</f>
        <v/>
      </c>
      <c r="E1601">
        <f>IF(A1601="",0,D1601*C1601/100/(DATE(YEAR(A1601)+1,1,1)-DATE(YEAR(A1601),1,1)))</f>
        <v/>
      </c>
      <c r="F1601">
        <f>IF(A1601="",0,SUMIF(Rechner!$A$12:$A$21,A1601,Rechner!$B$12:$B$21))</f>
        <v/>
      </c>
      <c r="G1601">
        <f>H1600+E1601</f>
        <v/>
      </c>
      <c r="H1601">
        <f>G1601-MIN(F1601,G1601)</f>
        <v/>
      </c>
      <c r="I1601">
        <f>MIN(F1601-MIN(F1601,G1601),D1601)</f>
        <v/>
      </c>
      <c r="J1601">
        <f>D1601-I1601</f>
        <v/>
      </c>
      <c r="K1601">
        <f>F1601-MIN(F1601,G1601)-I1601</f>
        <v/>
      </c>
    </row>
    <row r="1602">
      <c r="A1602" s="21">
        <f>IF(Rechner!$E$4&lt;&gt;"ok","",IF(Rechner!$E$5+1600&lt;=Rechner!$B$6,Rechner!$E$5+1600,""))</f>
        <v/>
      </c>
      <c r="B1602">
        <f>IF(A1602="","",LOOKUP(A1602,Basiszins!$A$5:$A$18,Basiszins!$B$5:$B$18))</f>
        <v/>
      </c>
      <c r="C1602">
        <f>IF(A1602="","",B1602+Rechner!$E$7)</f>
        <v/>
      </c>
      <c r="D1602">
        <f>J1601</f>
        <v/>
      </c>
      <c r="E1602">
        <f>IF(A1602="",0,D1602*C1602/100/(DATE(YEAR(A1602)+1,1,1)-DATE(YEAR(A1602),1,1)))</f>
        <v/>
      </c>
      <c r="F1602">
        <f>IF(A1602="",0,SUMIF(Rechner!$A$12:$A$21,A1602,Rechner!$B$12:$B$21))</f>
        <v/>
      </c>
      <c r="G1602">
        <f>H1601+E1602</f>
        <v/>
      </c>
      <c r="H1602">
        <f>G1602-MIN(F1602,G1602)</f>
        <v/>
      </c>
      <c r="I1602">
        <f>MIN(F1602-MIN(F1602,G1602),D1602)</f>
        <v/>
      </c>
      <c r="J1602">
        <f>D1602-I1602</f>
        <v/>
      </c>
      <c r="K1602">
        <f>F1602-MIN(F1602,G1602)-I1602</f>
        <v/>
      </c>
    </row>
    <row r="1603">
      <c r="A1603" s="21">
        <f>IF(Rechner!$E$4&lt;&gt;"ok","",IF(Rechner!$E$5+1601&lt;=Rechner!$B$6,Rechner!$E$5+1601,""))</f>
        <v/>
      </c>
      <c r="B1603">
        <f>IF(A1603="","",LOOKUP(A1603,Basiszins!$A$5:$A$18,Basiszins!$B$5:$B$18))</f>
        <v/>
      </c>
      <c r="C1603">
        <f>IF(A1603="","",B1603+Rechner!$E$7)</f>
        <v/>
      </c>
      <c r="D1603">
        <f>J1602</f>
        <v/>
      </c>
      <c r="E1603">
        <f>IF(A1603="",0,D1603*C1603/100/(DATE(YEAR(A1603)+1,1,1)-DATE(YEAR(A1603),1,1)))</f>
        <v/>
      </c>
      <c r="F1603">
        <f>IF(A1603="",0,SUMIF(Rechner!$A$12:$A$21,A1603,Rechner!$B$12:$B$21))</f>
        <v/>
      </c>
      <c r="G1603">
        <f>H1602+E1603</f>
        <v/>
      </c>
      <c r="H1603">
        <f>G1603-MIN(F1603,G1603)</f>
        <v/>
      </c>
      <c r="I1603">
        <f>MIN(F1603-MIN(F1603,G1603),D1603)</f>
        <v/>
      </c>
      <c r="J1603">
        <f>D1603-I1603</f>
        <v/>
      </c>
      <c r="K1603">
        <f>F1603-MIN(F1603,G1603)-I1603</f>
        <v/>
      </c>
    </row>
    <row r="1604">
      <c r="A1604" s="21">
        <f>IF(Rechner!$E$4&lt;&gt;"ok","",IF(Rechner!$E$5+1602&lt;=Rechner!$B$6,Rechner!$E$5+1602,""))</f>
        <v/>
      </c>
      <c r="B1604">
        <f>IF(A1604="","",LOOKUP(A1604,Basiszins!$A$5:$A$18,Basiszins!$B$5:$B$18))</f>
        <v/>
      </c>
      <c r="C1604">
        <f>IF(A1604="","",B1604+Rechner!$E$7)</f>
        <v/>
      </c>
      <c r="D1604">
        <f>J1603</f>
        <v/>
      </c>
      <c r="E1604">
        <f>IF(A1604="",0,D1604*C1604/100/(DATE(YEAR(A1604)+1,1,1)-DATE(YEAR(A1604),1,1)))</f>
        <v/>
      </c>
      <c r="F1604">
        <f>IF(A1604="",0,SUMIF(Rechner!$A$12:$A$21,A1604,Rechner!$B$12:$B$21))</f>
        <v/>
      </c>
      <c r="G1604">
        <f>H1603+E1604</f>
        <v/>
      </c>
      <c r="H1604">
        <f>G1604-MIN(F1604,G1604)</f>
        <v/>
      </c>
      <c r="I1604">
        <f>MIN(F1604-MIN(F1604,G1604),D1604)</f>
        <v/>
      </c>
      <c r="J1604">
        <f>D1604-I1604</f>
        <v/>
      </c>
      <c r="K1604">
        <f>F1604-MIN(F1604,G1604)-I1604</f>
        <v/>
      </c>
    </row>
    <row r="1605">
      <c r="A1605" s="21">
        <f>IF(Rechner!$E$4&lt;&gt;"ok","",IF(Rechner!$E$5+1603&lt;=Rechner!$B$6,Rechner!$E$5+1603,""))</f>
        <v/>
      </c>
      <c r="B1605">
        <f>IF(A1605="","",LOOKUP(A1605,Basiszins!$A$5:$A$18,Basiszins!$B$5:$B$18))</f>
        <v/>
      </c>
      <c r="C1605">
        <f>IF(A1605="","",B1605+Rechner!$E$7)</f>
        <v/>
      </c>
      <c r="D1605">
        <f>J1604</f>
        <v/>
      </c>
      <c r="E1605">
        <f>IF(A1605="",0,D1605*C1605/100/(DATE(YEAR(A1605)+1,1,1)-DATE(YEAR(A1605),1,1)))</f>
        <v/>
      </c>
      <c r="F1605">
        <f>IF(A1605="",0,SUMIF(Rechner!$A$12:$A$21,A1605,Rechner!$B$12:$B$21))</f>
        <v/>
      </c>
      <c r="G1605">
        <f>H1604+E1605</f>
        <v/>
      </c>
      <c r="H1605">
        <f>G1605-MIN(F1605,G1605)</f>
        <v/>
      </c>
      <c r="I1605">
        <f>MIN(F1605-MIN(F1605,G1605),D1605)</f>
        <v/>
      </c>
      <c r="J1605">
        <f>D1605-I1605</f>
        <v/>
      </c>
      <c r="K1605">
        <f>F1605-MIN(F1605,G1605)-I1605</f>
        <v/>
      </c>
    </row>
    <row r="1606">
      <c r="A1606" s="21">
        <f>IF(Rechner!$E$4&lt;&gt;"ok","",IF(Rechner!$E$5+1604&lt;=Rechner!$B$6,Rechner!$E$5+1604,""))</f>
        <v/>
      </c>
      <c r="B1606">
        <f>IF(A1606="","",LOOKUP(A1606,Basiszins!$A$5:$A$18,Basiszins!$B$5:$B$18))</f>
        <v/>
      </c>
      <c r="C1606">
        <f>IF(A1606="","",B1606+Rechner!$E$7)</f>
        <v/>
      </c>
      <c r="D1606">
        <f>J1605</f>
        <v/>
      </c>
      <c r="E1606">
        <f>IF(A1606="",0,D1606*C1606/100/(DATE(YEAR(A1606)+1,1,1)-DATE(YEAR(A1606),1,1)))</f>
        <v/>
      </c>
      <c r="F1606">
        <f>IF(A1606="",0,SUMIF(Rechner!$A$12:$A$21,A1606,Rechner!$B$12:$B$21))</f>
        <v/>
      </c>
      <c r="G1606">
        <f>H1605+E1606</f>
        <v/>
      </c>
      <c r="H1606">
        <f>G1606-MIN(F1606,G1606)</f>
        <v/>
      </c>
      <c r="I1606">
        <f>MIN(F1606-MIN(F1606,G1606),D1606)</f>
        <v/>
      </c>
      <c r="J1606">
        <f>D1606-I1606</f>
        <v/>
      </c>
      <c r="K1606">
        <f>F1606-MIN(F1606,G1606)-I1606</f>
        <v/>
      </c>
    </row>
    <row r="1607">
      <c r="A1607" s="21">
        <f>IF(Rechner!$E$4&lt;&gt;"ok","",IF(Rechner!$E$5+1605&lt;=Rechner!$B$6,Rechner!$E$5+1605,""))</f>
        <v/>
      </c>
      <c r="B1607">
        <f>IF(A1607="","",LOOKUP(A1607,Basiszins!$A$5:$A$18,Basiszins!$B$5:$B$18))</f>
        <v/>
      </c>
      <c r="C1607">
        <f>IF(A1607="","",B1607+Rechner!$E$7)</f>
        <v/>
      </c>
      <c r="D1607">
        <f>J1606</f>
        <v/>
      </c>
      <c r="E1607">
        <f>IF(A1607="",0,D1607*C1607/100/(DATE(YEAR(A1607)+1,1,1)-DATE(YEAR(A1607),1,1)))</f>
        <v/>
      </c>
      <c r="F1607">
        <f>IF(A1607="",0,SUMIF(Rechner!$A$12:$A$21,A1607,Rechner!$B$12:$B$21))</f>
        <v/>
      </c>
      <c r="G1607">
        <f>H1606+E1607</f>
        <v/>
      </c>
      <c r="H1607">
        <f>G1607-MIN(F1607,G1607)</f>
        <v/>
      </c>
      <c r="I1607">
        <f>MIN(F1607-MIN(F1607,G1607),D1607)</f>
        <v/>
      </c>
      <c r="J1607">
        <f>D1607-I1607</f>
        <v/>
      </c>
      <c r="K1607">
        <f>F1607-MIN(F1607,G1607)-I1607</f>
        <v/>
      </c>
    </row>
    <row r="1608">
      <c r="A1608" s="21">
        <f>IF(Rechner!$E$4&lt;&gt;"ok","",IF(Rechner!$E$5+1606&lt;=Rechner!$B$6,Rechner!$E$5+1606,""))</f>
        <v/>
      </c>
      <c r="B1608">
        <f>IF(A1608="","",LOOKUP(A1608,Basiszins!$A$5:$A$18,Basiszins!$B$5:$B$18))</f>
        <v/>
      </c>
      <c r="C1608">
        <f>IF(A1608="","",B1608+Rechner!$E$7)</f>
        <v/>
      </c>
      <c r="D1608">
        <f>J1607</f>
        <v/>
      </c>
      <c r="E1608">
        <f>IF(A1608="",0,D1608*C1608/100/(DATE(YEAR(A1608)+1,1,1)-DATE(YEAR(A1608),1,1)))</f>
        <v/>
      </c>
      <c r="F1608">
        <f>IF(A1608="",0,SUMIF(Rechner!$A$12:$A$21,A1608,Rechner!$B$12:$B$21))</f>
        <v/>
      </c>
      <c r="G1608">
        <f>H1607+E1608</f>
        <v/>
      </c>
      <c r="H1608">
        <f>G1608-MIN(F1608,G1608)</f>
        <v/>
      </c>
      <c r="I1608">
        <f>MIN(F1608-MIN(F1608,G1608),D1608)</f>
        <v/>
      </c>
      <c r="J1608">
        <f>D1608-I1608</f>
        <v/>
      </c>
      <c r="K1608">
        <f>F1608-MIN(F1608,G1608)-I1608</f>
        <v/>
      </c>
    </row>
    <row r="1609">
      <c r="A1609" s="21">
        <f>IF(Rechner!$E$4&lt;&gt;"ok","",IF(Rechner!$E$5+1607&lt;=Rechner!$B$6,Rechner!$E$5+1607,""))</f>
        <v/>
      </c>
      <c r="B1609">
        <f>IF(A1609="","",LOOKUP(A1609,Basiszins!$A$5:$A$18,Basiszins!$B$5:$B$18))</f>
        <v/>
      </c>
      <c r="C1609">
        <f>IF(A1609="","",B1609+Rechner!$E$7)</f>
        <v/>
      </c>
      <c r="D1609">
        <f>J1608</f>
        <v/>
      </c>
      <c r="E1609">
        <f>IF(A1609="",0,D1609*C1609/100/(DATE(YEAR(A1609)+1,1,1)-DATE(YEAR(A1609),1,1)))</f>
        <v/>
      </c>
      <c r="F1609">
        <f>IF(A1609="",0,SUMIF(Rechner!$A$12:$A$21,A1609,Rechner!$B$12:$B$21))</f>
        <v/>
      </c>
      <c r="G1609">
        <f>H1608+E1609</f>
        <v/>
      </c>
      <c r="H1609">
        <f>G1609-MIN(F1609,G1609)</f>
        <v/>
      </c>
      <c r="I1609">
        <f>MIN(F1609-MIN(F1609,G1609),D1609)</f>
        <v/>
      </c>
      <c r="J1609">
        <f>D1609-I1609</f>
        <v/>
      </c>
      <c r="K1609">
        <f>F1609-MIN(F1609,G1609)-I1609</f>
        <v/>
      </c>
    </row>
    <row r="1610">
      <c r="A1610" s="21">
        <f>IF(Rechner!$E$4&lt;&gt;"ok","",IF(Rechner!$E$5+1608&lt;=Rechner!$B$6,Rechner!$E$5+1608,""))</f>
        <v/>
      </c>
      <c r="B1610">
        <f>IF(A1610="","",LOOKUP(A1610,Basiszins!$A$5:$A$18,Basiszins!$B$5:$B$18))</f>
        <v/>
      </c>
      <c r="C1610">
        <f>IF(A1610="","",B1610+Rechner!$E$7)</f>
        <v/>
      </c>
      <c r="D1610">
        <f>J1609</f>
        <v/>
      </c>
      <c r="E1610">
        <f>IF(A1610="",0,D1610*C1610/100/(DATE(YEAR(A1610)+1,1,1)-DATE(YEAR(A1610),1,1)))</f>
        <v/>
      </c>
      <c r="F1610">
        <f>IF(A1610="",0,SUMIF(Rechner!$A$12:$A$21,A1610,Rechner!$B$12:$B$21))</f>
        <v/>
      </c>
      <c r="G1610">
        <f>H1609+E1610</f>
        <v/>
      </c>
      <c r="H1610">
        <f>G1610-MIN(F1610,G1610)</f>
        <v/>
      </c>
      <c r="I1610">
        <f>MIN(F1610-MIN(F1610,G1610),D1610)</f>
        <v/>
      </c>
      <c r="J1610">
        <f>D1610-I1610</f>
        <v/>
      </c>
      <c r="K1610">
        <f>F1610-MIN(F1610,G1610)-I1610</f>
        <v/>
      </c>
    </row>
    <row r="1611">
      <c r="A1611" s="21">
        <f>IF(Rechner!$E$4&lt;&gt;"ok","",IF(Rechner!$E$5+1609&lt;=Rechner!$B$6,Rechner!$E$5+1609,""))</f>
        <v/>
      </c>
      <c r="B1611">
        <f>IF(A1611="","",LOOKUP(A1611,Basiszins!$A$5:$A$18,Basiszins!$B$5:$B$18))</f>
        <v/>
      </c>
      <c r="C1611">
        <f>IF(A1611="","",B1611+Rechner!$E$7)</f>
        <v/>
      </c>
      <c r="D1611">
        <f>J1610</f>
        <v/>
      </c>
      <c r="E1611">
        <f>IF(A1611="",0,D1611*C1611/100/(DATE(YEAR(A1611)+1,1,1)-DATE(YEAR(A1611),1,1)))</f>
        <v/>
      </c>
      <c r="F1611">
        <f>IF(A1611="",0,SUMIF(Rechner!$A$12:$A$21,A1611,Rechner!$B$12:$B$21))</f>
        <v/>
      </c>
      <c r="G1611">
        <f>H1610+E1611</f>
        <v/>
      </c>
      <c r="H1611">
        <f>G1611-MIN(F1611,G1611)</f>
        <v/>
      </c>
      <c r="I1611">
        <f>MIN(F1611-MIN(F1611,G1611),D1611)</f>
        <v/>
      </c>
      <c r="J1611">
        <f>D1611-I1611</f>
        <v/>
      </c>
      <c r="K1611">
        <f>F1611-MIN(F1611,G1611)-I1611</f>
        <v/>
      </c>
    </row>
    <row r="1612">
      <c r="A1612" s="21">
        <f>IF(Rechner!$E$4&lt;&gt;"ok","",IF(Rechner!$E$5+1610&lt;=Rechner!$B$6,Rechner!$E$5+1610,""))</f>
        <v/>
      </c>
      <c r="B1612">
        <f>IF(A1612="","",LOOKUP(A1612,Basiszins!$A$5:$A$18,Basiszins!$B$5:$B$18))</f>
        <v/>
      </c>
      <c r="C1612">
        <f>IF(A1612="","",B1612+Rechner!$E$7)</f>
        <v/>
      </c>
      <c r="D1612">
        <f>J1611</f>
        <v/>
      </c>
      <c r="E1612">
        <f>IF(A1612="",0,D1612*C1612/100/(DATE(YEAR(A1612)+1,1,1)-DATE(YEAR(A1612),1,1)))</f>
        <v/>
      </c>
      <c r="F1612">
        <f>IF(A1612="",0,SUMIF(Rechner!$A$12:$A$21,A1612,Rechner!$B$12:$B$21))</f>
        <v/>
      </c>
      <c r="G1612">
        <f>H1611+E1612</f>
        <v/>
      </c>
      <c r="H1612">
        <f>G1612-MIN(F1612,G1612)</f>
        <v/>
      </c>
      <c r="I1612">
        <f>MIN(F1612-MIN(F1612,G1612),D1612)</f>
        <v/>
      </c>
      <c r="J1612">
        <f>D1612-I1612</f>
        <v/>
      </c>
      <c r="K1612">
        <f>F1612-MIN(F1612,G1612)-I1612</f>
        <v/>
      </c>
    </row>
    <row r="1613">
      <c r="A1613" s="21">
        <f>IF(Rechner!$E$4&lt;&gt;"ok","",IF(Rechner!$E$5+1611&lt;=Rechner!$B$6,Rechner!$E$5+1611,""))</f>
        <v/>
      </c>
      <c r="B1613">
        <f>IF(A1613="","",LOOKUP(A1613,Basiszins!$A$5:$A$18,Basiszins!$B$5:$B$18))</f>
        <v/>
      </c>
      <c r="C1613">
        <f>IF(A1613="","",B1613+Rechner!$E$7)</f>
        <v/>
      </c>
      <c r="D1613">
        <f>J1612</f>
        <v/>
      </c>
      <c r="E1613">
        <f>IF(A1613="",0,D1613*C1613/100/(DATE(YEAR(A1613)+1,1,1)-DATE(YEAR(A1613),1,1)))</f>
        <v/>
      </c>
      <c r="F1613">
        <f>IF(A1613="",0,SUMIF(Rechner!$A$12:$A$21,A1613,Rechner!$B$12:$B$21))</f>
        <v/>
      </c>
      <c r="G1613">
        <f>H1612+E1613</f>
        <v/>
      </c>
      <c r="H1613">
        <f>G1613-MIN(F1613,G1613)</f>
        <v/>
      </c>
      <c r="I1613">
        <f>MIN(F1613-MIN(F1613,G1613),D1613)</f>
        <v/>
      </c>
      <c r="J1613">
        <f>D1613-I1613</f>
        <v/>
      </c>
      <c r="K1613">
        <f>F1613-MIN(F1613,G1613)-I1613</f>
        <v/>
      </c>
    </row>
    <row r="1614">
      <c r="A1614" s="21">
        <f>IF(Rechner!$E$4&lt;&gt;"ok","",IF(Rechner!$E$5+1612&lt;=Rechner!$B$6,Rechner!$E$5+1612,""))</f>
        <v/>
      </c>
      <c r="B1614">
        <f>IF(A1614="","",LOOKUP(A1614,Basiszins!$A$5:$A$18,Basiszins!$B$5:$B$18))</f>
        <v/>
      </c>
      <c r="C1614">
        <f>IF(A1614="","",B1614+Rechner!$E$7)</f>
        <v/>
      </c>
      <c r="D1614">
        <f>J1613</f>
        <v/>
      </c>
      <c r="E1614">
        <f>IF(A1614="",0,D1614*C1614/100/(DATE(YEAR(A1614)+1,1,1)-DATE(YEAR(A1614),1,1)))</f>
        <v/>
      </c>
      <c r="F1614">
        <f>IF(A1614="",0,SUMIF(Rechner!$A$12:$A$21,A1614,Rechner!$B$12:$B$21))</f>
        <v/>
      </c>
      <c r="G1614">
        <f>H1613+E1614</f>
        <v/>
      </c>
      <c r="H1614">
        <f>G1614-MIN(F1614,G1614)</f>
        <v/>
      </c>
      <c r="I1614">
        <f>MIN(F1614-MIN(F1614,G1614),D1614)</f>
        <v/>
      </c>
      <c r="J1614">
        <f>D1614-I1614</f>
        <v/>
      </c>
      <c r="K1614">
        <f>F1614-MIN(F1614,G1614)-I1614</f>
        <v/>
      </c>
    </row>
    <row r="1615">
      <c r="A1615" s="21">
        <f>IF(Rechner!$E$4&lt;&gt;"ok","",IF(Rechner!$E$5+1613&lt;=Rechner!$B$6,Rechner!$E$5+1613,""))</f>
        <v/>
      </c>
      <c r="B1615">
        <f>IF(A1615="","",LOOKUP(A1615,Basiszins!$A$5:$A$18,Basiszins!$B$5:$B$18))</f>
        <v/>
      </c>
      <c r="C1615">
        <f>IF(A1615="","",B1615+Rechner!$E$7)</f>
        <v/>
      </c>
      <c r="D1615">
        <f>J1614</f>
        <v/>
      </c>
      <c r="E1615">
        <f>IF(A1615="",0,D1615*C1615/100/(DATE(YEAR(A1615)+1,1,1)-DATE(YEAR(A1615),1,1)))</f>
        <v/>
      </c>
      <c r="F1615">
        <f>IF(A1615="",0,SUMIF(Rechner!$A$12:$A$21,A1615,Rechner!$B$12:$B$21))</f>
        <v/>
      </c>
      <c r="G1615">
        <f>H1614+E1615</f>
        <v/>
      </c>
      <c r="H1615">
        <f>G1615-MIN(F1615,G1615)</f>
        <v/>
      </c>
      <c r="I1615">
        <f>MIN(F1615-MIN(F1615,G1615),D1615)</f>
        <v/>
      </c>
      <c r="J1615">
        <f>D1615-I1615</f>
        <v/>
      </c>
      <c r="K1615">
        <f>F1615-MIN(F1615,G1615)-I1615</f>
        <v/>
      </c>
    </row>
    <row r="1616">
      <c r="A1616" s="21">
        <f>IF(Rechner!$E$4&lt;&gt;"ok","",IF(Rechner!$E$5+1614&lt;=Rechner!$B$6,Rechner!$E$5+1614,""))</f>
        <v/>
      </c>
      <c r="B1616">
        <f>IF(A1616="","",LOOKUP(A1616,Basiszins!$A$5:$A$18,Basiszins!$B$5:$B$18))</f>
        <v/>
      </c>
      <c r="C1616">
        <f>IF(A1616="","",B1616+Rechner!$E$7)</f>
        <v/>
      </c>
      <c r="D1616">
        <f>J1615</f>
        <v/>
      </c>
      <c r="E1616">
        <f>IF(A1616="",0,D1616*C1616/100/(DATE(YEAR(A1616)+1,1,1)-DATE(YEAR(A1616),1,1)))</f>
        <v/>
      </c>
      <c r="F1616">
        <f>IF(A1616="",0,SUMIF(Rechner!$A$12:$A$21,A1616,Rechner!$B$12:$B$21))</f>
        <v/>
      </c>
      <c r="G1616">
        <f>H1615+E1616</f>
        <v/>
      </c>
      <c r="H1616">
        <f>G1616-MIN(F1616,G1616)</f>
        <v/>
      </c>
      <c r="I1616">
        <f>MIN(F1616-MIN(F1616,G1616),D1616)</f>
        <v/>
      </c>
      <c r="J1616">
        <f>D1616-I1616</f>
        <v/>
      </c>
      <c r="K1616">
        <f>F1616-MIN(F1616,G1616)-I1616</f>
        <v/>
      </c>
    </row>
    <row r="1617">
      <c r="A1617" s="21">
        <f>IF(Rechner!$E$4&lt;&gt;"ok","",IF(Rechner!$E$5+1615&lt;=Rechner!$B$6,Rechner!$E$5+1615,""))</f>
        <v/>
      </c>
      <c r="B1617">
        <f>IF(A1617="","",LOOKUP(A1617,Basiszins!$A$5:$A$18,Basiszins!$B$5:$B$18))</f>
        <v/>
      </c>
      <c r="C1617">
        <f>IF(A1617="","",B1617+Rechner!$E$7)</f>
        <v/>
      </c>
      <c r="D1617">
        <f>J1616</f>
        <v/>
      </c>
      <c r="E1617">
        <f>IF(A1617="",0,D1617*C1617/100/(DATE(YEAR(A1617)+1,1,1)-DATE(YEAR(A1617),1,1)))</f>
        <v/>
      </c>
      <c r="F1617">
        <f>IF(A1617="",0,SUMIF(Rechner!$A$12:$A$21,A1617,Rechner!$B$12:$B$21))</f>
        <v/>
      </c>
      <c r="G1617">
        <f>H1616+E1617</f>
        <v/>
      </c>
      <c r="H1617">
        <f>G1617-MIN(F1617,G1617)</f>
        <v/>
      </c>
      <c r="I1617">
        <f>MIN(F1617-MIN(F1617,G1617),D1617)</f>
        <v/>
      </c>
      <c r="J1617">
        <f>D1617-I1617</f>
        <v/>
      </c>
      <c r="K1617">
        <f>F1617-MIN(F1617,G1617)-I1617</f>
        <v/>
      </c>
    </row>
    <row r="1618">
      <c r="A1618" s="21">
        <f>IF(Rechner!$E$4&lt;&gt;"ok","",IF(Rechner!$E$5+1616&lt;=Rechner!$B$6,Rechner!$E$5+1616,""))</f>
        <v/>
      </c>
      <c r="B1618">
        <f>IF(A1618="","",LOOKUP(A1618,Basiszins!$A$5:$A$18,Basiszins!$B$5:$B$18))</f>
        <v/>
      </c>
      <c r="C1618">
        <f>IF(A1618="","",B1618+Rechner!$E$7)</f>
        <v/>
      </c>
      <c r="D1618">
        <f>J1617</f>
        <v/>
      </c>
      <c r="E1618">
        <f>IF(A1618="",0,D1618*C1618/100/(DATE(YEAR(A1618)+1,1,1)-DATE(YEAR(A1618),1,1)))</f>
        <v/>
      </c>
      <c r="F1618">
        <f>IF(A1618="",0,SUMIF(Rechner!$A$12:$A$21,A1618,Rechner!$B$12:$B$21))</f>
        <v/>
      </c>
      <c r="G1618">
        <f>H1617+E1618</f>
        <v/>
      </c>
      <c r="H1618">
        <f>G1618-MIN(F1618,G1618)</f>
        <v/>
      </c>
      <c r="I1618">
        <f>MIN(F1618-MIN(F1618,G1618),D1618)</f>
        <v/>
      </c>
      <c r="J1618">
        <f>D1618-I1618</f>
        <v/>
      </c>
      <c r="K1618">
        <f>F1618-MIN(F1618,G1618)-I1618</f>
        <v/>
      </c>
    </row>
    <row r="1619">
      <c r="A1619" s="21">
        <f>IF(Rechner!$E$4&lt;&gt;"ok","",IF(Rechner!$E$5+1617&lt;=Rechner!$B$6,Rechner!$E$5+1617,""))</f>
        <v/>
      </c>
      <c r="B1619">
        <f>IF(A1619="","",LOOKUP(A1619,Basiszins!$A$5:$A$18,Basiszins!$B$5:$B$18))</f>
        <v/>
      </c>
      <c r="C1619">
        <f>IF(A1619="","",B1619+Rechner!$E$7)</f>
        <v/>
      </c>
      <c r="D1619">
        <f>J1618</f>
        <v/>
      </c>
      <c r="E1619">
        <f>IF(A1619="",0,D1619*C1619/100/(DATE(YEAR(A1619)+1,1,1)-DATE(YEAR(A1619),1,1)))</f>
        <v/>
      </c>
      <c r="F1619">
        <f>IF(A1619="",0,SUMIF(Rechner!$A$12:$A$21,A1619,Rechner!$B$12:$B$21))</f>
        <v/>
      </c>
      <c r="G1619">
        <f>H1618+E1619</f>
        <v/>
      </c>
      <c r="H1619">
        <f>G1619-MIN(F1619,G1619)</f>
        <v/>
      </c>
      <c r="I1619">
        <f>MIN(F1619-MIN(F1619,G1619),D1619)</f>
        <v/>
      </c>
      <c r="J1619">
        <f>D1619-I1619</f>
        <v/>
      </c>
      <c r="K1619">
        <f>F1619-MIN(F1619,G1619)-I1619</f>
        <v/>
      </c>
    </row>
    <row r="1620">
      <c r="A1620" s="21">
        <f>IF(Rechner!$E$4&lt;&gt;"ok","",IF(Rechner!$E$5+1618&lt;=Rechner!$B$6,Rechner!$E$5+1618,""))</f>
        <v/>
      </c>
      <c r="B1620">
        <f>IF(A1620="","",LOOKUP(A1620,Basiszins!$A$5:$A$18,Basiszins!$B$5:$B$18))</f>
        <v/>
      </c>
      <c r="C1620">
        <f>IF(A1620="","",B1620+Rechner!$E$7)</f>
        <v/>
      </c>
      <c r="D1620">
        <f>J1619</f>
        <v/>
      </c>
      <c r="E1620">
        <f>IF(A1620="",0,D1620*C1620/100/(DATE(YEAR(A1620)+1,1,1)-DATE(YEAR(A1620),1,1)))</f>
        <v/>
      </c>
      <c r="F1620">
        <f>IF(A1620="",0,SUMIF(Rechner!$A$12:$A$21,A1620,Rechner!$B$12:$B$21))</f>
        <v/>
      </c>
      <c r="G1620">
        <f>H1619+E1620</f>
        <v/>
      </c>
      <c r="H1620">
        <f>G1620-MIN(F1620,G1620)</f>
        <v/>
      </c>
      <c r="I1620">
        <f>MIN(F1620-MIN(F1620,G1620),D1620)</f>
        <v/>
      </c>
      <c r="J1620">
        <f>D1620-I1620</f>
        <v/>
      </c>
      <c r="K1620">
        <f>F1620-MIN(F1620,G1620)-I1620</f>
        <v/>
      </c>
    </row>
    <row r="1621">
      <c r="A1621" s="21">
        <f>IF(Rechner!$E$4&lt;&gt;"ok","",IF(Rechner!$E$5+1619&lt;=Rechner!$B$6,Rechner!$E$5+1619,""))</f>
        <v/>
      </c>
      <c r="B1621">
        <f>IF(A1621="","",LOOKUP(A1621,Basiszins!$A$5:$A$18,Basiszins!$B$5:$B$18))</f>
        <v/>
      </c>
      <c r="C1621">
        <f>IF(A1621="","",B1621+Rechner!$E$7)</f>
        <v/>
      </c>
      <c r="D1621">
        <f>J1620</f>
        <v/>
      </c>
      <c r="E1621">
        <f>IF(A1621="",0,D1621*C1621/100/(DATE(YEAR(A1621)+1,1,1)-DATE(YEAR(A1621),1,1)))</f>
        <v/>
      </c>
      <c r="F1621">
        <f>IF(A1621="",0,SUMIF(Rechner!$A$12:$A$21,A1621,Rechner!$B$12:$B$21))</f>
        <v/>
      </c>
      <c r="G1621">
        <f>H1620+E1621</f>
        <v/>
      </c>
      <c r="H1621">
        <f>G1621-MIN(F1621,G1621)</f>
        <v/>
      </c>
      <c r="I1621">
        <f>MIN(F1621-MIN(F1621,G1621),D1621)</f>
        <v/>
      </c>
      <c r="J1621">
        <f>D1621-I1621</f>
        <v/>
      </c>
      <c r="K1621">
        <f>F1621-MIN(F1621,G1621)-I1621</f>
        <v/>
      </c>
    </row>
    <row r="1622">
      <c r="A1622" s="21">
        <f>IF(Rechner!$E$4&lt;&gt;"ok","",IF(Rechner!$E$5+1620&lt;=Rechner!$B$6,Rechner!$E$5+1620,""))</f>
        <v/>
      </c>
      <c r="B1622">
        <f>IF(A1622="","",LOOKUP(A1622,Basiszins!$A$5:$A$18,Basiszins!$B$5:$B$18))</f>
        <v/>
      </c>
      <c r="C1622">
        <f>IF(A1622="","",B1622+Rechner!$E$7)</f>
        <v/>
      </c>
      <c r="D1622">
        <f>J1621</f>
        <v/>
      </c>
      <c r="E1622">
        <f>IF(A1622="",0,D1622*C1622/100/(DATE(YEAR(A1622)+1,1,1)-DATE(YEAR(A1622),1,1)))</f>
        <v/>
      </c>
      <c r="F1622">
        <f>IF(A1622="",0,SUMIF(Rechner!$A$12:$A$21,A1622,Rechner!$B$12:$B$21))</f>
        <v/>
      </c>
      <c r="G1622">
        <f>H1621+E1622</f>
        <v/>
      </c>
      <c r="H1622">
        <f>G1622-MIN(F1622,G1622)</f>
        <v/>
      </c>
      <c r="I1622">
        <f>MIN(F1622-MIN(F1622,G1622),D1622)</f>
        <v/>
      </c>
      <c r="J1622">
        <f>D1622-I1622</f>
        <v/>
      </c>
      <c r="K1622">
        <f>F1622-MIN(F1622,G1622)-I1622</f>
        <v/>
      </c>
    </row>
    <row r="1623">
      <c r="A1623" s="21">
        <f>IF(Rechner!$E$4&lt;&gt;"ok","",IF(Rechner!$E$5+1621&lt;=Rechner!$B$6,Rechner!$E$5+1621,""))</f>
        <v/>
      </c>
      <c r="B1623">
        <f>IF(A1623="","",LOOKUP(A1623,Basiszins!$A$5:$A$18,Basiszins!$B$5:$B$18))</f>
        <v/>
      </c>
      <c r="C1623">
        <f>IF(A1623="","",B1623+Rechner!$E$7)</f>
        <v/>
      </c>
      <c r="D1623">
        <f>J1622</f>
        <v/>
      </c>
      <c r="E1623">
        <f>IF(A1623="",0,D1623*C1623/100/(DATE(YEAR(A1623)+1,1,1)-DATE(YEAR(A1623),1,1)))</f>
        <v/>
      </c>
      <c r="F1623">
        <f>IF(A1623="",0,SUMIF(Rechner!$A$12:$A$21,A1623,Rechner!$B$12:$B$21))</f>
        <v/>
      </c>
      <c r="G1623">
        <f>H1622+E1623</f>
        <v/>
      </c>
      <c r="H1623">
        <f>G1623-MIN(F1623,G1623)</f>
        <v/>
      </c>
      <c r="I1623">
        <f>MIN(F1623-MIN(F1623,G1623),D1623)</f>
        <v/>
      </c>
      <c r="J1623">
        <f>D1623-I1623</f>
        <v/>
      </c>
      <c r="K1623">
        <f>F1623-MIN(F1623,G1623)-I1623</f>
        <v/>
      </c>
    </row>
    <row r="1624">
      <c r="A1624" s="21">
        <f>IF(Rechner!$E$4&lt;&gt;"ok","",IF(Rechner!$E$5+1622&lt;=Rechner!$B$6,Rechner!$E$5+1622,""))</f>
        <v/>
      </c>
      <c r="B1624">
        <f>IF(A1624="","",LOOKUP(A1624,Basiszins!$A$5:$A$18,Basiszins!$B$5:$B$18))</f>
        <v/>
      </c>
      <c r="C1624">
        <f>IF(A1624="","",B1624+Rechner!$E$7)</f>
        <v/>
      </c>
      <c r="D1624">
        <f>J1623</f>
        <v/>
      </c>
      <c r="E1624">
        <f>IF(A1624="",0,D1624*C1624/100/(DATE(YEAR(A1624)+1,1,1)-DATE(YEAR(A1624),1,1)))</f>
        <v/>
      </c>
      <c r="F1624">
        <f>IF(A1624="",0,SUMIF(Rechner!$A$12:$A$21,A1624,Rechner!$B$12:$B$21))</f>
        <v/>
      </c>
      <c r="G1624">
        <f>H1623+E1624</f>
        <v/>
      </c>
      <c r="H1624">
        <f>G1624-MIN(F1624,G1624)</f>
        <v/>
      </c>
      <c r="I1624">
        <f>MIN(F1624-MIN(F1624,G1624),D1624)</f>
        <v/>
      </c>
      <c r="J1624">
        <f>D1624-I1624</f>
        <v/>
      </c>
      <c r="K1624">
        <f>F1624-MIN(F1624,G1624)-I1624</f>
        <v/>
      </c>
    </row>
    <row r="1625">
      <c r="A1625" s="21">
        <f>IF(Rechner!$E$4&lt;&gt;"ok","",IF(Rechner!$E$5+1623&lt;=Rechner!$B$6,Rechner!$E$5+1623,""))</f>
        <v/>
      </c>
      <c r="B1625">
        <f>IF(A1625="","",LOOKUP(A1625,Basiszins!$A$5:$A$18,Basiszins!$B$5:$B$18))</f>
        <v/>
      </c>
      <c r="C1625">
        <f>IF(A1625="","",B1625+Rechner!$E$7)</f>
        <v/>
      </c>
      <c r="D1625">
        <f>J1624</f>
        <v/>
      </c>
      <c r="E1625">
        <f>IF(A1625="",0,D1625*C1625/100/(DATE(YEAR(A1625)+1,1,1)-DATE(YEAR(A1625),1,1)))</f>
        <v/>
      </c>
      <c r="F1625">
        <f>IF(A1625="",0,SUMIF(Rechner!$A$12:$A$21,A1625,Rechner!$B$12:$B$21))</f>
        <v/>
      </c>
      <c r="G1625">
        <f>H1624+E1625</f>
        <v/>
      </c>
      <c r="H1625">
        <f>G1625-MIN(F1625,G1625)</f>
        <v/>
      </c>
      <c r="I1625">
        <f>MIN(F1625-MIN(F1625,G1625),D1625)</f>
        <v/>
      </c>
      <c r="J1625">
        <f>D1625-I1625</f>
        <v/>
      </c>
      <c r="K1625">
        <f>F1625-MIN(F1625,G1625)-I1625</f>
        <v/>
      </c>
    </row>
    <row r="1626">
      <c r="A1626" s="21">
        <f>IF(Rechner!$E$4&lt;&gt;"ok","",IF(Rechner!$E$5+1624&lt;=Rechner!$B$6,Rechner!$E$5+1624,""))</f>
        <v/>
      </c>
      <c r="B1626">
        <f>IF(A1626="","",LOOKUP(A1626,Basiszins!$A$5:$A$18,Basiszins!$B$5:$B$18))</f>
        <v/>
      </c>
      <c r="C1626">
        <f>IF(A1626="","",B1626+Rechner!$E$7)</f>
        <v/>
      </c>
      <c r="D1626">
        <f>J1625</f>
        <v/>
      </c>
      <c r="E1626">
        <f>IF(A1626="",0,D1626*C1626/100/(DATE(YEAR(A1626)+1,1,1)-DATE(YEAR(A1626),1,1)))</f>
        <v/>
      </c>
      <c r="F1626">
        <f>IF(A1626="",0,SUMIF(Rechner!$A$12:$A$21,A1626,Rechner!$B$12:$B$21))</f>
        <v/>
      </c>
      <c r="G1626">
        <f>H1625+E1626</f>
        <v/>
      </c>
      <c r="H1626">
        <f>G1626-MIN(F1626,G1626)</f>
        <v/>
      </c>
      <c r="I1626">
        <f>MIN(F1626-MIN(F1626,G1626),D1626)</f>
        <v/>
      </c>
      <c r="J1626">
        <f>D1626-I1626</f>
        <v/>
      </c>
      <c r="K1626">
        <f>F1626-MIN(F1626,G1626)-I1626</f>
        <v/>
      </c>
    </row>
    <row r="1627">
      <c r="A1627" s="21">
        <f>IF(Rechner!$E$4&lt;&gt;"ok","",IF(Rechner!$E$5+1625&lt;=Rechner!$B$6,Rechner!$E$5+1625,""))</f>
        <v/>
      </c>
      <c r="B1627">
        <f>IF(A1627="","",LOOKUP(A1627,Basiszins!$A$5:$A$18,Basiszins!$B$5:$B$18))</f>
        <v/>
      </c>
      <c r="C1627">
        <f>IF(A1627="","",B1627+Rechner!$E$7)</f>
        <v/>
      </c>
      <c r="D1627">
        <f>J1626</f>
        <v/>
      </c>
      <c r="E1627">
        <f>IF(A1627="",0,D1627*C1627/100/(DATE(YEAR(A1627)+1,1,1)-DATE(YEAR(A1627),1,1)))</f>
        <v/>
      </c>
      <c r="F1627">
        <f>IF(A1627="",0,SUMIF(Rechner!$A$12:$A$21,A1627,Rechner!$B$12:$B$21))</f>
        <v/>
      </c>
      <c r="G1627">
        <f>H1626+E1627</f>
        <v/>
      </c>
      <c r="H1627">
        <f>G1627-MIN(F1627,G1627)</f>
        <v/>
      </c>
      <c r="I1627">
        <f>MIN(F1627-MIN(F1627,G1627),D1627)</f>
        <v/>
      </c>
      <c r="J1627">
        <f>D1627-I1627</f>
        <v/>
      </c>
      <c r="K1627">
        <f>F1627-MIN(F1627,G1627)-I1627</f>
        <v/>
      </c>
    </row>
    <row r="1628">
      <c r="A1628" s="21">
        <f>IF(Rechner!$E$4&lt;&gt;"ok","",IF(Rechner!$E$5+1626&lt;=Rechner!$B$6,Rechner!$E$5+1626,""))</f>
        <v/>
      </c>
      <c r="B1628">
        <f>IF(A1628="","",LOOKUP(A1628,Basiszins!$A$5:$A$18,Basiszins!$B$5:$B$18))</f>
        <v/>
      </c>
      <c r="C1628">
        <f>IF(A1628="","",B1628+Rechner!$E$7)</f>
        <v/>
      </c>
      <c r="D1628">
        <f>J1627</f>
        <v/>
      </c>
      <c r="E1628">
        <f>IF(A1628="",0,D1628*C1628/100/(DATE(YEAR(A1628)+1,1,1)-DATE(YEAR(A1628),1,1)))</f>
        <v/>
      </c>
      <c r="F1628">
        <f>IF(A1628="",0,SUMIF(Rechner!$A$12:$A$21,A1628,Rechner!$B$12:$B$21))</f>
        <v/>
      </c>
      <c r="G1628">
        <f>H1627+E1628</f>
        <v/>
      </c>
      <c r="H1628">
        <f>G1628-MIN(F1628,G1628)</f>
        <v/>
      </c>
      <c r="I1628">
        <f>MIN(F1628-MIN(F1628,G1628),D1628)</f>
        <v/>
      </c>
      <c r="J1628">
        <f>D1628-I1628</f>
        <v/>
      </c>
      <c r="K1628">
        <f>F1628-MIN(F1628,G1628)-I1628</f>
        <v/>
      </c>
    </row>
    <row r="1629">
      <c r="A1629" s="21">
        <f>IF(Rechner!$E$4&lt;&gt;"ok","",IF(Rechner!$E$5+1627&lt;=Rechner!$B$6,Rechner!$E$5+1627,""))</f>
        <v/>
      </c>
      <c r="B1629">
        <f>IF(A1629="","",LOOKUP(A1629,Basiszins!$A$5:$A$18,Basiszins!$B$5:$B$18))</f>
        <v/>
      </c>
      <c r="C1629">
        <f>IF(A1629="","",B1629+Rechner!$E$7)</f>
        <v/>
      </c>
      <c r="D1629">
        <f>J1628</f>
        <v/>
      </c>
      <c r="E1629">
        <f>IF(A1629="",0,D1629*C1629/100/(DATE(YEAR(A1629)+1,1,1)-DATE(YEAR(A1629),1,1)))</f>
        <v/>
      </c>
      <c r="F1629">
        <f>IF(A1629="",0,SUMIF(Rechner!$A$12:$A$21,A1629,Rechner!$B$12:$B$21))</f>
        <v/>
      </c>
      <c r="G1629">
        <f>H1628+E1629</f>
        <v/>
      </c>
      <c r="H1629">
        <f>G1629-MIN(F1629,G1629)</f>
        <v/>
      </c>
      <c r="I1629">
        <f>MIN(F1629-MIN(F1629,G1629),D1629)</f>
        <v/>
      </c>
      <c r="J1629">
        <f>D1629-I1629</f>
        <v/>
      </c>
      <c r="K1629">
        <f>F1629-MIN(F1629,G1629)-I1629</f>
        <v/>
      </c>
    </row>
    <row r="1630">
      <c r="A1630" s="21">
        <f>IF(Rechner!$E$4&lt;&gt;"ok","",IF(Rechner!$E$5+1628&lt;=Rechner!$B$6,Rechner!$E$5+1628,""))</f>
        <v/>
      </c>
      <c r="B1630">
        <f>IF(A1630="","",LOOKUP(A1630,Basiszins!$A$5:$A$18,Basiszins!$B$5:$B$18))</f>
        <v/>
      </c>
      <c r="C1630">
        <f>IF(A1630="","",B1630+Rechner!$E$7)</f>
        <v/>
      </c>
      <c r="D1630">
        <f>J1629</f>
        <v/>
      </c>
      <c r="E1630">
        <f>IF(A1630="",0,D1630*C1630/100/(DATE(YEAR(A1630)+1,1,1)-DATE(YEAR(A1630),1,1)))</f>
        <v/>
      </c>
      <c r="F1630">
        <f>IF(A1630="",0,SUMIF(Rechner!$A$12:$A$21,A1630,Rechner!$B$12:$B$21))</f>
        <v/>
      </c>
      <c r="G1630">
        <f>H1629+E1630</f>
        <v/>
      </c>
      <c r="H1630">
        <f>G1630-MIN(F1630,G1630)</f>
        <v/>
      </c>
      <c r="I1630">
        <f>MIN(F1630-MIN(F1630,G1630),D1630)</f>
        <v/>
      </c>
      <c r="J1630">
        <f>D1630-I1630</f>
        <v/>
      </c>
      <c r="K1630">
        <f>F1630-MIN(F1630,G1630)-I1630</f>
        <v/>
      </c>
    </row>
    <row r="1631">
      <c r="A1631" s="21">
        <f>IF(Rechner!$E$4&lt;&gt;"ok","",IF(Rechner!$E$5+1629&lt;=Rechner!$B$6,Rechner!$E$5+1629,""))</f>
        <v/>
      </c>
      <c r="B1631">
        <f>IF(A1631="","",LOOKUP(A1631,Basiszins!$A$5:$A$18,Basiszins!$B$5:$B$18))</f>
        <v/>
      </c>
      <c r="C1631">
        <f>IF(A1631="","",B1631+Rechner!$E$7)</f>
        <v/>
      </c>
      <c r="D1631">
        <f>J1630</f>
        <v/>
      </c>
      <c r="E1631">
        <f>IF(A1631="",0,D1631*C1631/100/(DATE(YEAR(A1631)+1,1,1)-DATE(YEAR(A1631),1,1)))</f>
        <v/>
      </c>
      <c r="F1631">
        <f>IF(A1631="",0,SUMIF(Rechner!$A$12:$A$21,A1631,Rechner!$B$12:$B$21))</f>
        <v/>
      </c>
      <c r="G1631">
        <f>H1630+E1631</f>
        <v/>
      </c>
      <c r="H1631">
        <f>G1631-MIN(F1631,G1631)</f>
        <v/>
      </c>
      <c r="I1631">
        <f>MIN(F1631-MIN(F1631,G1631),D1631)</f>
        <v/>
      </c>
      <c r="J1631">
        <f>D1631-I1631</f>
        <v/>
      </c>
      <c r="K1631">
        <f>F1631-MIN(F1631,G1631)-I1631</f>
        <v/>
      </c>
    </row>
    <row r="1632">
      <c r="A1632" s="21">
        <f>IF(Rechner!$E$4&lt;&gt;"ok","",IF(Rechner!$E$5+1630&lt;=Rechner!$B$6,Rechner!$E$5+1630,""))</f>
        <v/>
      </c>
      <c r="B1632">
        <f>IF(A1632="","",LOOKUP(A1632,Basiszins!$A$5:$A$18,Basiszins!$B$5:$B$18))</f>
        <v/>
      </c>
      <c r="C1632">
        <f>IF(A1632="","",B1632+Rechner!$E$7)</f>
        <v/>
      </c>
      <c r="D1632">
        <f>J1631</f>
        <v/>
      </c>
      <c r="E1632">
        <f>IF(A1632="",0,D1632*C1632/100/(DATE(YEAR(A1632)+1,1,1)-DATE(YEAR(A1632),1,1)))</f>
        <v/>
      </c>
      <c r="F1632">
        <f>IF(A1632="",0,SUMIF(Rechner!$A$12:$A$21,A1632,Rechner!$B$12:$B$21))</f>
        <v/>
      </c>
      <c r="G1632">
        <f>H1631+E1632</f>
        <v/>
      </c>
      <c r="H1632">
        <f>G1632-MIN(F1632,G1632)</f>
        <v/>
      </c>
      <c r="I1632">
        <f>MIN(F1632-MIN(F1632,G1632),D1632)</f>
        <v/>
      </c>
      <c r="J1632">
        <f>D1632-I1632</f>
        <v/>
      </c>
      <c r="K1632">
        <f>F1632-MIN(F1632,G1632)-I1632</f>
        <v/>
      </c>
    </row>
    <row r="1633">
      <c r="A1633" s="21">
        <f>IF(Rechner!$E$4&lt;&gt;"ok","",IF(Rechner!$E$5+1631&lt;=Rechner!$B$6,Rechner!$E$5+1631,""))</f>
        <v/>
      </c>
      <c r="B1633">
        <f>IF(A1633="","",LOOKUP(A1633,Basiszins!$A$5:$A$18,Basiszins!$B$5:$B$18))</f>
        <v/>
      </c>
      <c r="C1633">
        <f>IF(A1633="","",B1633+Rechner!$E$7)</f>
        <v/>
      </c>
      <c r="D1633">
        <f>J1632</f>
        <v/>
      </c>
      <c r="E1633">
        <f>IF(A1633="",0,D1633*C1633/100/(DATE(YEAR(A1633)+1,1,1)-DATE(YEAR(A1633),1,1)))</f>
        <v/>
      </c>
      <c r="F1633">
        <f>IF(A1633="",0,SUMIF(Rechner!$A$12:$A$21,A1633,Rechner!$B$12:$B$21))</f>
        <v/>
      </c>
      <c r="G1633">
        <f>H1632+E1633</f>
        <v/>
      </c>
      <c r="H1633">
        <f>G1633-MIN(F1633,G1633)</f>
        <v/>
      </c>
      <c r="I1633">
        <f>MIN(F1633-MIN(F1633,G1633),D1633)</f>
        <v/>
      </c>
      <c r="J1633">
        <f>D1633-I1633</f>
        <v/>
      </c>
      <c r="K1633">
        <f>F1633-MIN(F1633,G1633)-I1633</f>
        <v/>
      </c>
    </row>
    <row r="1634">
      <c r="A1634" s="21">
        <f>IF(Rechner!$E$4&lt;&gt;"ok","",IF(Rechner!$E$5+1632&lt;=Rechner!$B$6,Rechner!$E$5+1632,""))</f>
        <v/>
      </c>
      <c r="B1634">
        <f>IF(A1634="","",LOOKUP(A1634,Basiszins!$A$5:$A$18,Basiszins!$B$5:$B$18))</f>
        <v/>
      </c>
      <c r="C1634">
        <f>IF(A1634="","",B1634+Rechner!$E$7)</f>
        <v/>
      </c>
      <c r="D1634">
        <f>J1633</f>
        <v/>
      </c>
      <c r="E1634">
        <f>IF(A1634="",0,D1634*C1634/100/(DATE(YEAR(A1634)+1,1,1)-DATE(YEAR(A1634),1,1)))</f>
        <v/>
      </c>
      <c r="F1634">
        <f>IF(A1634="",0,SUMIF(Rechner!$A$12:$A$21,A1634,Rechner!$B$12:$B$21))</f>
        <v/>
      </c>
      <c r="G1634">
        <f>H1633+E1634</f>
        <v/>
      </c>
      <c r="H1634">
        <f>G1634-MIN(F1634,G1634)</f>
        <v/>
      </c>
      <c r="I1634">
        <f>MIN(F1634-MIN(F1634,G1634),D1634)</f>
        <v/>
      </c>
      <c r="J1634">
        <f>D1634-I1634</f>
        <v/>
      </c>
      <c r="K1634">
        <f>F1634-MIN(F1634,G1634)-I1634</f>
        <v/>
      </c>
    </row>
    <row r="1635">
      <c r="A1635" s="21">
        <f>IF(Rechner!$E$4&lt;&gt;"ok","",IF(Rechner!$E$5+1633&lt;=Rechner!$B$6,Rechner!$E$5+1633,""))</f>
        <v/>
      </c>
      <c r="B1635">
        <f>IF(A1635="","",LOOKUP(A1635,Basiszins!$A$5:$A$18,Basiszins!$B$5:$B$18))</f>
        <v/>
      </c>
      <c r="C1635">
        <f>IF(A1635="","",B1635+Rechner!$E$7)</f>
        <v/>
      </c>
      <c r="D1635">
        <f>J1634</f>
        <v/>
      </c>
      <c r="E1635">
        <f>IF(A1635="",0,D1635*C1635/100/(DATE(YEAR(A1635)+1,1,1)-DATE(YEAR(A1635),1,1)))</f>
        <v/>
      </c>
      <c r="F1635">
        <f>IF(A1635="",0,SUMIF(Rechner!$A$12:$A$21,A1635,Rechner!$B$12:$B$21))</f>
        <v/>
      </c>
      <c r="G1635">
        <f>H1634+E1635</f>
        <v/>
      </c>
      <c r="H1635">
        <f>G1635-MIN(F1635,G1635)</f>
        <v/>
      </c>
      <c r="I1635">
        <f>MIN(F1635-MIN(F1635,G1635),D1635)</f>
        <v/>
      </c>
      <c r="J1635">
        <f>D1635-I1635</f>
        <v/>
      </c>
      <c r="K1635">
        <f>F1635-MIN(F1635,G1635)-I1635</f>
        <v/>
      </c>
    </row>
    <row r="1636">
      <c r="A1636" s="21">
        <f>IF(Rechner!$E$4&lt;&gt;"ok","",IF(Rechner!$E$5+1634&lt;=Rechner!$B$6,Rechner!$E$5+1634,""))</f>
        <v/>
      </c>
      <c r="B1636">
        <f>IF(A1636="","",LOOKUP(A1636,Basiszins!$A$5:$A$18,Basiszins!$B$5:$B$18))</f>
        <v/>
      </c>
      <c r="C1636">
        <f>IF(A1636="","",B1636+Rechner!$E$7)</f>
        <v/>
      </c>
      <c r="D1636">
        <f>J1635</f>
        <v/>
      </c>
      <c r="E1636">
        <f>IF(A1636="",0,D1636*C1636/100/(DATE(YEAR(A1636)+1,1,1)-DATE(YEAR(A1636),1,1)))</f>
        <v/>
      </c>
      <c r="F1636">
        <f>IF(A1636="",0,SUMIF(Rechner!$A$12:$A$21,A1636,Rechner!$B$12:$B$21))</f>
        <v/>
      </c>
      <c r="G1636">
        <f>H1635+E1636</f>
        <v/>
      </c>
      <c r="H1636">
        <f>G1636-MIN(F1636,G1636)</f>
        <v/>
      </c>
      <c r="I1636">
        <f>MIN(F1636-MIN(F1636,G1636),D1636)</f>
        <v/>
      </c>
      <c r="J1636">
        <f>D1636-I1636</f>
        <v/>
      </c>
      <c r="K1636">
        <f>F1636-MIN(F1636,G1636)-I1636</f>
        <v/>
      </c>
    </row>
    <row r="1637">
      <c r="A1637" s="21">
        <f>IF(Rechner!$E$4&lt;&gt;"ok","",IF(Rechner!$E$5+1635&lt;=Rechner!$B$6,Rechner!$E$5+1635,""))</f>
        <v/>
      </c>
      <c r="B1637">
        <f>IF(A1637="","",LOOKUP(A1637,Basiszins!$A$5:$A$18,Basiszins!$B$5:$B$18))</f>
        <v/>
      </c>
      <c r="C1637">
        <f>IF(A1637="","",B1637+Rechner!$E$7)</f>
        <v/>
      </c>
      <c r="D1637">
        <f>J1636</f>
        <v/>
      </c>
      <c r="E1637">
        <f>IF(A1637="",0,D1637*C1637/100/(DATE(YEAR(A1637)+1,1,1)-DATE(YEAR(A1637),1,1)))</f>
        <v/>
      </c>
      <c r="F1637">
        <f>IF(A1637="",0,SUMIF(Rechner!$A$12:$A$21,A1637,Rechner!$B$12:$B$21))</f>
        <v/>
      </c>
      <c r="G1637">
        <f>H1636+E1637</f>
        <v/>
      </c>
      <c r="H1637">
        <f>G1637-MIN(F1637,G1637)</f>
        <v/>
      </c>
      <c r="I1637">
        <f>MIN(F1637-MIN(F1637,G1637),D1637)</f>
        <v/>
      </c>
      <c r="J1637">
        <f>D1637-I1637</f>
        <v/>
      </c>
      <c r="K1637">
        <f>F1637-MIN(F1637,G1637)-I1637</f>
        <v/>
      </c>
    </row>
    <row r="1638">
      <c r="A1638" s="21">
        <f>IF(Rechner!$E$4&lt;&gt;"ok","",IF(Rechner!$E$5+1636&lt;=Rechner!$B$6,Rechner!$E$5+1636,""))</f>
        <v/>
      </c>
      <c r="B1638">
        <f>IF(A1638="","",LOOKUP(A1638,Basiszins!$A$5:$A$18,Basiszins!$B$5:$B$18))</f>
        <v/>
      </c>
      <c r="C1638">
        <f>IF(A1638="","",B1638+Rechner!$E$7)</f>
        <v/>
      </c>
      <c r="D1638">
        <f>J1637</f>
        <v/>
      </c>
      <c r="E1638">
        <f>IF(A1638="",0,D1638*C1638/100/(DATE(YEAR(A1638)+1,1,1)-DATE(YEAR(A1638),1,1)))</f>
        <v/>
      </c>
      <c r="F1638">
        <f>IF(A1638="",0,SUMIF(Rechner!$A$12:$A$21,A1638,Rechner!$B$12:$B$21))</f>
        <v/>
      </c>
      <c r="G1638">
        <f>H1637+E1638</f>
        <v/>
      </c>
      <c r="H1638">
        <f>G1638-MIN(F1638,G1638)</f>
        <v/>
      </c>
      <c r="I1638">
        <f>MIN(F1638-MIN(F1638,G1638),D1638)</f>
        <v/>
      </c>
      <c r="J1638">
        <f>D1638-I1638</f>
        <v/>
      </c>
      <c r="K1638">
        <f>F1638-MIN(F1638,G1638)-I1638</f>
        <v/>
      </c>
    </row>
    <row r="1639">
      <c r="A1639" s="21">
        <f>IF(Rechner!$E$4&lt;&gt;"ok","",IF(Rechner!$E$5+1637&lt;=Rechner!$B$6,Rechner!$E$5+1637,""))</f>
        <v/>
      </c>
      <c r="B1639">
        <f>IF(A1639="","",LOOKUP(A1639,Basiszins!$A$5:$A$18,Basiszins!$B$5:$B$18))</f>
        <v/>
      </c>
      <c r="C1639">
        <f>IF(A1639="","",B1639+Rechner!$E$7)</f>
        <v/>
      </c>
      <c r="D1639">
        <f>J1638</f>
        <v/>
      </c>
      <c r="E1639">
        <f>IF(A1639="",0,D1639*C1639/100/(DATE(YEAR(A1639)+1,1,1)-DATE(YEAR(A1639),1,1)))</f>
        <v/>
      </c>
      <c r="F1639">
        <f>IF(A1639="",0,SUMIF(Rechner!$A$12:$A$21,A1639,Rechner!$B$12:$B$21))</f>
        <v/>
      </c>
      <c r="G1639">
        <f>H1638+E1639</f>
        <v/>
      </c>
      <c r="H1639">
        <f>G1639-MIN(F1639,G1639)</f>
        <v/>
      </c>
      <c r="I1639">
        <f>MIN(F1639-MIN(F1639,G1639),D1639)</f>
        <v/>
      </c>
      <c r="J1639">
        <f>D1639-I1639</f>
        <v/>
      </c>
      <c r="K1639">
        <f>F1639-MIN(F1639,G1639)-I1639</f>
        <v/>
      </c>
    </row>
    <row r="1640">
      <c r="A1640" s="21">
        <f>IF(Rechner!$E$4&lt;&gt;"ok","",IF(Rechner!$E$5+1638&lt;=Rechner!$B$6,Rechner!$E$5+1638,""))</f>
        <v/>
      </c>
      <c r="B1640">
        <f>IF(A1640="","",LOOKUP(A1640,Basiszins!$A$5:$A$18,Basiszins!$B$5:$B$18))</f>
        <v/>
      </c>
      <c r="C1640">
        <f>IF(A1640="","",B1640+Rechner!$E$7)</f>
        <v/>
      </c>
      <c r="D1640">
        <f>J1639</f>
        <v/>
      </c>
      <c r="E1640">
        <f>IF(A1640="",0,D1640*C1640/100/(DATE(YEAR(A1640)+1,1,1)-DATE(YEAR(A1640),1,1)))</f>
        <v/>
      </c>
      <c r="F1640">
        <f>IF(A1640="",0,SUMIF(Rechner!$A$12:$A$21,A1640,Rechner!$B$12:$B$21))</f>
        <v/>
      </c>
      <c r="G1640">
        <f>H1639+E1640</f>
        <v/>
      </c>
      <c r="H1640">
        <f>G1640-MIN(F1640,G1640)</f>
        <v/>
      </c>
      <c r="I1640">
        <f>MIN(F1640-MIN(F1640,G1640),D1640)</f>
        <v/>
      </c>
      <c r="J1640">
        <f>D1640-I1640</f>
        <v/>
      </c>
      <c r="K1640">
        <f>F1640-MIN(F1640,G1640)-I1640</f>
        <v/>
      </c>
    </row>
    <row r="1641">
      <c r="A1641" s="21">
        <f>IF(Rechner!$E$4&lt;&gt;"ok","",IF(Rechner!$E$5+1639&lt;=Rechner!$B$6,Rechner!$E$5+1639,""))</f>
        <v/>
      </c>
      <c r="B1641">
        <f>IF(A1641="","",LOOKUP(A1641,Basiszins!$A$5:$A$18,Basiszins!$B$5:$B$18))</f>
        <v/>
      </c>
      <c r="C1641">
        <f>IF(A1641="","",B1641+Rechner!$E$7)</f>
        <v/>
      </c>
      <c r="D1641">
        <f>J1640</f>
        <v/>
      </c>
      <c r="E1641">
        <f>IF(A1641="",0,D1641*C1641/100/(DATE(YEAR(A1641)+1,1,1)-DATE(YEAR(A1641),1,1)))</f>
        <v/>
      </c>
      <c r="F1641">
        <f>IF(A1641="",0,SUMIF(Rechner!$A$12:$A$21,A1641,Rechner!$B$12:$B$21))</f>
        <v/>
      </c>
      <c r="G1641">
        <f>H1640+E1641</f>
        <v/>
      </c>
      <c r="H1641">
        <f>G1641-MIN(F1641,G1641)</f>
        <v/>
      </c>
      <c r="I1641">
        <f>MIN(F1641-MIN(F1641,G1641),D1641)</f>
        <v/>
      </c>
      <c r="J1641">
        <f>D1641-I1641</f>
        <v/>
      </c>
      <c r="K1641">
        <f>F1641-MIN(F1641,G1641)-I1641</f>
        <v/>
      </c>
    </row>
    <row r="1642">
      <c r="A1642" s="21">
        <f>IF(Rechner!$E$4&lt;&gt;"ok","",IF(Rechner!$E$5+1640&lt;=Rechner!$B$6,Rechner!$E$5+1640,""))</f>
        <v/>
      </c>
      <c r="B1642">
        <f>IF(A1642="","",LOOKUP(A1642,Basiszins!$A$5:$A$18,Basiszins!$B$5:$B$18))</f>
        <v/>
      </c>
      <c r="C1642">
        <f>IF(A1642="","",B1642+Rechner!$E$7)</f>
        <v/>
      </c>
      <c r="D1642">
        <f>J1641</f>
        <v/>
      </c>
      <c r="E1642">
        <f>IF(A1642="",0,D1642*C1642/100/(DATE(YEAR(A1642)+1,1,1)-DATE(YEAR(A1642),1,1)))</f>
        <v/>
      </c>
      <c r="F1642">
        <f>IF(A1642="",0,SUMIF(Rechner!$A$12:$A$21,A1642,Rechner!$B$12:$B$21))</f>
        <v/>
      </c>
      <c r="G1642">
        <f>H1641+E1642</f>
        <v/>
      </c>
      <c r="H1642">
        <f>G1642-MIN(F1642,G1642)</f>
        <v/>
      </c>
      <c r="I1642">
        <f>MIN(F1642-MIN(F1642,G1642),D1642)</f>
        <v/>
      </c>
      <c r="J1642">
        <f>D1642-I1642</f>
        <v/>
      </c>
      <c r="K1642">
        <f>F1642-MIN(F1642,G1642)-I1642</f>
        <v/>
      </c>
    </row>
    <row r="1643">
      <c r="A1643" s="21">
        <f>IF(Rechner!$E$4&lt;&gt;"ok","",IF(Rechner!$E$5+1641&lt;=Rechner!$B$6,Rechner!$E$5+1641,""))</f>
        <v/>
      </c>
      <c r="B1643">
        <f>IF(A1643="","",LOOKUP(A1643,Basiszins!$A$5:$A$18,Basiszins!$B$5:$B$18))</f>
        <v/>
      </c>
      <c r="C1643">
        <f>IF(A1643="","",B1643+Rechner!$E$7)</f>
        <v/>
      </c>
      <c r="D1643">
        <f>J1642</f>
        <v/>
      </c>
      <c r="E1643">
        <f>IF(A1643="",0,D1643*C1643/100/(DATE(YEAR(A1643)+1,1,1)-DATE(YEAR(A1643),1,1)))</f>
        <v/>
      </c>
      <c r="F1643">
        <f>IF(A1643="",0,SUMIF(Rechner!$A$12:$A$21,A1643,Rechner!$B$12:$B$21))</f>
        <v/>
      </c>
      <c r="G1643">
        <f>H1642+E1643</f>
        <v/>
      </c>
      <c r="H1643">
        <f>G1643-MIN(F1643,G1643)</f>
        <v/>
      </c>
      <c r="I1643">
        <f>MIN(F1643-MIN(F1643,G1643),D1643)</f>
        <v/>
      </c>
      <c r="J1643">
        <f>D1643-I1643</f>
        <v/>
      </c>
      <c r="K1643">
        <f>F1643-MIN(F1643,G1643)-I1643</f>
        <v/>
      </c>
    </row>
    <row r="1644">
      <c r="A1644" s="21">
        <f>IF(Rechner!$E$4&lt;&gt;"ok","",IF(Rechner!$E$5+1642&lt;=Rechner!$B$6,Rechner!$E$5+1642,""))</f>
        <v/>
      </c>
      <c r="B1644">
        <f>IF(A1644="","",LOOKUP(A1644,Basiszins!$A$5:$A$18,Basiszins!$B$5:$B$18))</f>
        <v/>
      </c>
      <c r="C1644">
        <f>IF(A1644="","",B1644+Rechner!$E$7)</f>
        <v/>
      </c>
      <c r="D1644">
        <f>J1643</f>
        <v/>
      </c>
      <c r="E1644">
        <f>IF(A1644="",0,D1644*C1644/100/(DATE(YEAR(A1644)+1,1,1)-DATE(YEAR(A1644),1,1)))</f>
        <v/>
      </c>
      <c r="F1644">
        <f>IF(A1644="",0,SUMIF(Rechner!$A$12:$A$21,A1644,Rechner!$B$12:$B$21))</f>
        <v/>
      </c>
      <c r="G1644">
        <f>H1643+E1644</f>
        <v/>
      </c>
      <c r="H1644">
        <f>G1644-MIN(F1644,G1644)</f>
        <v/>
      </c>
      <c r="I1644">
        <f>MIN(F1644-MIN(F1644,G1644),D1644)</f>
        <v/>
      </c>
      <c r="J1644">
        <f>D1644-I1644</f>
        <v/>
      </c>
      <c r="K1644">
        <f>F1644-MIN(F1644,G1644)-I1644</f>
        <v/>
      </c>
    </row>
    <row r="1645">
      <c r="A1645" s="21">
        <f>IF(Rechner!$E$4&lt;&gt;"ok","",IF(Rechner!$E$5+1643&lt;=Rechner!$B$6,Rechner!$E$5+1643,""))</f>
        <v/>
      </c>
      <c r="B1645">
        <f>IF(A1645="","",LOOKUP(A1645,Basiszins!$A$5:$A$18,Basiszins!$B$5:$B$18))</f>
        <v/>
      </c>
      <c r="C1645">
        <f>IF(A1645="","",B1645+Rechner!$E$7)</f>
        <v/>
      </c>
      <c r="D1645">
        <f>J1644</f>
        <v/>
      </c>
      <c r="E1645">
        <f>IF(A1645="",0,D1645*C1645/100/(DATE(YEAR(A1645)+1,1,1)-DATE(YEAR(A1645),1,1)))</f>
        <v/>
      </c>
      <c r="F1645">
        <f>IF(A1645="",0,SUMIF(Rechner!$A$12:$A$21,A1645,Rechner!$B$12:$B$21))</f>
        <v/>
      </c>
      <c r="G1645">
        <f>H1644+E1645</f>
        <v/>
      </c>
      <c r="H1645">
        <f>G1645-MIN(F1645,G1645)</f>
        <v/>
      </c>
      <c r="I1645">
        <f>MIN(F1645-MIN(F1645,G1645),D1645)</f>
        <v/>
      </c>
      <c r="J1645">
        <f>D1645-I1645</f>
        <v/>
      </c>
      <c r="K1645">
        <f>F1645-MIN(F1645,G1645)-I1645</f>
        <v/>
      </c>
    </row>
    <row r="1646">
      <c r="A1646" s="21">
        <f>IF(Rechner!$E$4&lt;&gt;"ok","",IF(Rechner!$E$5+1644&lt;=Rechner!$B$6,Rechner!$E$5+1644,""))</f>
        <v/>
      </c>
      <c r="B1646">
        <f>IF(A1646="","",LOOKUP(A1646,Basiszins!$A$5:$A$18,Basiszins!$B$5:$B$18))</f>
        <v/>
      </c>
      <c r="C1646">
        <f>IF(A1646="","",B1646+Rechner!$E$7)</f>
        <v/>
      </c>
      <c r="D1646">
        <f>J1645</f>
        <v/>
      </c>
      <c r="E1646">
        <f>IF(A1646="",0,D1646*C1646/100/(DATE(YEAR(A1646)+1,1,1)-DATE(YEAR(A1646),1,1)))</f>
        <v/>
      </c>
      <c r="F1646">
        <f>IF(A1646="",0,SUMIF(Rechner!$A$12:$A$21,A1646,Rechner!$B$12:$B$21))</f>
        <v/>
      </c>
      <c r="G1646">
        <f>H1645+E1646</f>
        <v/>
      </c>
      <c r="H1646">
        <f>G1646-MIN(F1646,G1646)</f>
        <v/>
      </c>
      <c r="I1646">
        <f>MIN(F1646-MIN(F1646,G1646),D1646)</f>
        <v/>
      </c>
      <c r="J1646">
        <f>D1646-I1646</f>
        <v/>
      </c>
      <c r="K1646">
        <f>F1646-MIN(F1646,G1646)-I1646</f>
        <v/>
      </c>
    </row>
    <row r="1647">
      <c r="A1647" s="21">
        <f>IF(Rechner!$E$4&lt;&gt;"ok","",IF(Rechner!$E$5+1645&lt;=Rechner!$B$6,Rechner!$E$5+1645,""))</f>
        <v/>
      </c>
      <c r="B1647">
        <f>IF(A1647="","",LOOKUP(A1647,Basiszins!$A$5:$A$18,Basiszins!$B$5:$B$18))</f>
        <v/>
      </c>
      <c r="C1647">
        <f>IF(A1647="","",B1647+Rechner!$E$7)</f>
        <v/>
      </c>
      <c r="D1647">
        <f>J1646</f>
        <v/>
      </c>
      <c r="E1647">
        <f>IF(A1647="",0,D1647*C1647/100/(DATE(YEAR(A1647)+1,1,1)-DATE(YEAR(A1647),1,1)))</f>
        <v/>
      </c>
      <c r="F1647">
        <f>IF(A1647="",0,SUMIF(Rechner!$A$12:$A$21,A1647,Rechner!$B$12:$B$21))</f>
        <v/>
      </c>
      <c r="G1647">
        <f>H1646+E1647</f>
        <v/>
      </c>
      <c r="H1647">
        <f>G1647-MIN(F1647,G1647)</f>
        <v/>
      </c>
      <c r="I1647">
        <f>MIN(F1647-MIN(F1647,G1647),D1647)</f>
        <v/>
      </c>
      <c r="J1647">
        <f>D1647-I1647</f>
        <v/>
      </c>
      <c r="K1647">
        <f>F1647-MIN(F1647,G1647)-I1647</f>
        <v/>
      </c>
    </row>
    <row r="1648">
      <c r="A1648" s="21">
        <f>IF(Rechner!$E$4&lt;&gt;"ok","",IF(Rechner!$E$5+1646&lt;=Rechner!$B$6,Rechner!$E$5+1646,""))</f>
        <v/>
      </c>
      <c r="B1648">
        <f>IF(A1648="","",LOOKUP(A1648,Basiszins!$A$5:$A$18,Basiszins!$B$5:$B$18))</f>
        <v/>
      </c>
      <c r="C1648">
        <f>IF(A1648="","",B1648+Rechner!$E$7)</f>
        <v/>
      </c>
      <c r="D1648">
        <f>J1647</f>
        <v/>
      </c>
      <c r="E1648">
        <f>IF(A1648="",0,D1648*C1648/100/(DATE(YEAR(A1648)+1,1,1)-DATE(YEAR(A1648),1,1)))</f>
        <v/>
      </c>
      <c r="F1648">
        <f>IF(A1648="",0,SUMIF(Rechner!$A$12:$A$21,A1648,Rechner!$B$12:$B$21))</f>
        <v/>
      </c>
      <c r="G1648">
        <f>H1647+E1648</f>
        <v/>
      </c>
      <c r="H1648">
        <f>G1648-MIN(F1648,G1648)</f>
        <v/>
      </c>
      <c r="I1648">
        <f>MIN(F1648-MIN(F1648,G1648),D1648)</f>
        <v/>
      </c>
      <c r="J1648">
        <f>D1648-I1648</f>
        <v/>
      </c>
      <c r="K1648">
        <f>F1648-MIN(F1648,G1648)-I1648</f>
        <v/>
      </c>
    </row>
    <row r="1649">
      <c r="A1649" s="21">
        <f>IF(Rechner!$E$4&lt;&gt;"ok","",IF(Rechner!$E$5+1647&lt;=Rechner!$B$6,Rechner!$E$5+1647,""))</f>
        <v/>
      </c>
      <c r="B1649">
        <f>IF(A1649="","",LOOKUP(A1649,Basiszins!$A$5:$A$18,Basiszins!$B$5:$B$18))</f>
        <v/>
      </c>
      <c r="C1649">
        <f>IF(A1649="","",B1649+Rechner!$E$7)</f>
        <v/>
      </c>
      <c r="D1649">
        <f>J1648</f>
        <v/>
      </c>
      <c r="E1649">
        <f>IF(A1649="",0,D1649*C1649/100/(DATE(YEAR(A1649)+1,1,1)-DATE(YEAR(A1649),1,1)))</f>
        <v/>
      </c>
      <c r="F1649">
        <f>IF(A1649="",0,SUMIF(Rechner!$A$12:$A$21,A1649,Rechner!$B$12:$B$21))</f>
        <v/>
      </c>
      <c r="G1649">
        <f>H1648+E1649</f>
        <v/>
      </c>
      <c r="H1649">
        <f>G1649-MIN(F1649,G1649)</f>
        <v/>
      </c>
      <c r="I1649">
        <f>MIN(F1649-MIN(F1649,G1649),D1649)</f>
        <v/>
      </c>
      <c r="J1649">
        <f>D1649-I1649</f>
        <v/>
      </c>
      <c r="K1649">
        <f>F1649-MIN(F1649,G1649)-I1649</f>
        <v/>
      </c>
    </row>
    <row r="1650">
      <c r="A1650" s="21">
        <f>IF(Rechner!$E$4&lt;&gt;"ok","",IF(Rechner!$E$5+1648&lt;=Rechner!$B$6,Rechner!$E$5+1648,""))</f>
        <v/>
      </c>
      <c r="B1650">
        <f>IF(A1650="","",LOOKUP(A1650,Basiszins!$A$5:$A$18,Basiszins!$B$5:$B$18))</f>
        <v/>
      </c>
      <c r="C1650">
        <f>IF(A1650="","",B1650+Rechner!$E$7)</f>
        <v/>
      </c>
      <c r="D1650">
        <f>J1649</f>
        <v/>
      </c>
      <c r="E1650">
        <f>IF(A1650="",0,D1650*C1650/100/(DATE(YEAR(A1650)+1,1,1)-DATE(YEAR(A1650),1,1)))</f>
        <v/>
      </c>
      <c r="F1650">
        <f>IF(A1650="",0,SUMIF(Rechner!$A$12:$A$21,A1650,Rechner!$B$12:$B$21))</f>
        <v/>
      </c>
      <c r="G1650">
        <f>H1649+E1650</f>
        <v/>
      </c>
      <c r="H1650">
        <f>G1650-MIN(F1650,G1650)</f>
        <v/>
      </c>
      <c r="I1650">
        <f>MIN(F1650-MIN(F1650,G1650),D1650)</f>
        <v/>
      </c>
      <c r="J1650">
        <f>D1650-I1650</f>
        <v/>
      </c>
      <c r="K1650">
        <f>F1650-MIN(F1650,G1650)-I1650</f>
        <v/>
      </c>
    </row>
    <row r="1651">
      <c r="A1651" s="21">
        <f>IF(Rechner!$E$4&lt;&gt;"ok","",IF(Rechner!$E$5+1649&lt;=Rechner!$B$6,Rechner!$E$5+1649,""))</f>
        <v/>
      </c>
      <c r="B1651">
        <f>IF(A1651="","",LOOKUP(A1651,Basiszins!$A$5:$A$18,Basiszins!$B$5:$B$18))</f>
        <v/>
      </c>
      <c r="C1651">
        <f>IF(A1651="","",B1651+Rechner!$E$7)</f>
        <v/>
      </c>
      <c r="D1651">
        <f>J1650</f>
        <v/>
      </c>
      <c r="E1651">
        <f>IF(A1651="",0,D1651*C1651/100/(DATE(YEAR(A1651)+1,1,1)-DATE(YEAR(A1651),1,1)))</f>
        <v/>
      </c>
      <c r="F1651">
        <f>IF(A1651="",0,SUMIF(Rechner!$A$12:$A$21,A1651,Rechner!$B$12:$B$21))</f>
        <v/>
      </c>
      <c r="G1651">
        <f>H1650+E1651</f>
        <v/>
      </c>
      <c r="H1651">
        <f>G1651-MIN(F1651,G1651)</f>
        <v/>
      </c>
      <c r="I1651">
        <f>MIN(F1651-MIN(F1651,G1651),D1651)</f>
        <v/>
      </c>
      <c r="J1651">
        <f>D1651-I1651</f>
        <v/>
      </c>
      <c r="K1651">
        <f>F1651-MIN(F1651,G1651)-I1651</f>
        <v/>
      </c>
    </row>
    <row r="1652">
      <c r="A1652" s="21">
        <f>IF(Rechner!$E$4&lt;&gt;"ok","",IF(Rechner!$E$5+1650&lt;=Rechner!$B$6,Rechner!$E$5+1650,""))</f>
        <v/>
      </c>
      <c r="B1652">
        <f>IF(A1652="","",LOOKUP(A1652,Basiszins!$A$5:$A$18,Basiszins!$B$5:$B$18))</f>
        <v/>
      </c>
      <c r="C1652">
        <f>IF(A1652="","",B1652+Rechner!$E$7)</f>
        <v/>
      </c>
      <c r="D1652">
        <f>J1651</f>
        <v/>
      </c>
      <c r="E1652">
        <f>IF(A1652="",0,D1652*C1652/100/(DATE(YEAR(A1652)+1,1,1)-DATE(YEAR(A1652),1,1)))</f>
        <v/>
      </c>
      <c r="F1652">
        <f>IF(A1652="",0,SUMIF(Rechner!$A$12:$A$21,A1652,Rechner!$B$12:$B$21))</f>
        <v/>
      </c>
      <c r="G1652">
        <f>H1651+E1652</f>
        <v/>
      </c>
      <c r="H1652">
        <f>G1652-MIN(F1652,G1652)</f>
        <v/>
      </c>
      <c r="I1652">
        <f>MIN(F1652-MIN(F1652,G1652),D1652)</f>
        <v/>
      </c>
      <c r="J1652">
        <f>D1652-I1652</f>
        <v/>
      </c>
      <c r="K1652">
        <f>F1652-MIN(F1652,G1652)-I1652</f>
        <v/>
      </c>
    </row>
    <row r="1653">
      <c r="A1653" s="21">
        <f>IF(Rechner!$E$4&lt;&gt;"ok","",IF(Rechner!$E$5+1651&lt;=Rechner!$B$6,Rechner!$E$5+1651,""))</f>
        <v/>
      </c>
      <c r="B1653">
        <f>IF(A1653="","",LOOKUP(A1653,Basiszins!$A$5:$A$18,Basiszins!$B$5:$B$18))</f>
        <v/>
      </c>
      <c r="C1653">
        <f>IF(A1653="","",B1653+Rechner!$E$7)</f>
        <v/>
      </c>
      <c r="D1653">
        <f>J1652</f>
        <v/>
      </c>
      <c r="E1653">
        <f>IF(A1653="",0,D1653*C1653/100/(DATE(YEAR(A1653)+1,1,1)-DATE(YEAR(A1653),1,1)))</f>
        <v/>
      </c>
      <c r="F1653">
        <f>IF(A1653="",0,SUMIF(Rechner!$A$12:$A$21,A1653,Rechner!$B$12:$B$21))</f>
        <v/>
      </c>
      <c r="G1653">
        <f>H1652+E1653</f>
        <v/>
      </c>
      <c r="H1653">
        <f>G1653-MIN(F1653,G1653)</f>
        <v/>
      </c>
      <c r="I1653">
        <f>MIN(F1653-MIN(F1653,G1653),D1653)</f>
        <v/>
      </c>
      <c r="J1653">
        <f>D1653-I1653</f>
        <v/>
      </c>
      <c r="K1653">
        <f>F1653-MIN(F1653,G1653)-I1653</f>
        <v/>
      </c>
    </row>
    <row r="1654">
      <c r="A1654" s="21">
        <f>IF(Rechner!$E$4&lt;&gt;"ok","",IF(Rechner!$E$5+1652&lt;=Rechner!$B$6,Rechner!$E$5+1652,""))</f>
        <v/>
      </c>
      <c r="B1654">
        <f>IF(A1654="","",LOOKUP(A1654,Basiszins!$A$5:$A$18,Basiszins!$B$5:$B$18))</f>
        <v/>
      </c>
      <c r="C1654">
        <f>IF(A1654="","",B1654+Rechner!$E$7)</f>
        <v/>
      </c>
      <c r="D1654">
        <f>J1653</f>
        <v/>
      </c>
      <c r="E1654">
        <f>IF(A1654="",0,D1654*C1654/100/(DATE(YEAR(A1654)+1,1,1)-DATE(YEAR(A1654),1,1)))</f>
        <v/>
      </c>
      <c r="F1654">
        <f>IF(A1654="",0,SUMIF(Rechner!$A$12:$A$21,A1654,Rechner!$B$12:$B$21))</f>
        <v/>
      </c>
      <c r="G1654">
        <f>H1653+E1654</f>
        <v/>
      </c>
      <c r="H1654">
        <f>G1654-MIN(F1654,G1654)</f>
        <v/>
      </c>
      <c r="I1654">
        <f>MIN(F1654-MIN(F1654,G1654),D1654)</f>
        <v/>
      </c>
      <c r="J1654">
        <f>D1654-I1654</f>
        <v/>
      </c>
      <c r="K1654">
        <f>F1654-MIN(F1654,G1654)-I1654</f>
        <v/>
      </c>
    </row>
    <row r="1655">
      <c r="A1655" s="21">
        <f>IF(Rechner!$E$4&lt;&gt;"ok","",IF(Rechner!$E$5+1653&lt;=Rechner!$B$6,Rechner!$E$5+1653,""))</f>
        <v/>
      </c>
      <c r="B1655">
        <f>IF(A1655="","",LOOKUP(A1655,Basiszins!$A$5:$A$18,Basiszins!$B$5:$B$18))</f>
        <v/>
      </c>
      <c r="C1655">
        <f>IF(A1655="","",B1655+Rechner!$E$7)</f>
        <v/>
      </c>
      <c r="D1655">
        <f>J1654</f>
        <v/>
      </c>
      <c r="E1655">
        <f>IF(A1655="",0,D1655*C1655/100/(DATE(YEAR(A1655)+1,1,1)-DATE(YEAR(A1655),1,1)))</f>
        <v/>
      </c>
      <c r="F1655">
        <f>IF(A1655="",0,SUMIF(Rechner!$A$12:$A$21,A1655,Rechner!$B$12:$B$21))</f>
        <v/>
      </c>
      <c r="G1655">
        <f>H1654+E1655</f>
        <v/>
      </c>
      <c r="H1655">
        <f>G1655-MIN(F1655,G1655)</f>
        <v/>
      </c>
      <c r="I1655">
        <f>MIN(F1655-MIN(F1655,G1655),D1655)</f>
        <v/>
      </c>
      <c r="J1655">
        <f>D1655-I1655</f>
        <v/>
      </c>
      <c r="K1655">
        <f>F1655-MIN(F1655,G1655)-I1655</f>
        <v/>
      </c>
    </row>
    <row r="1656">
      <c r="A1656" s="21">
        <f>IF(Rechner!$E$4&lt;&gt;"ok","",IF(Rechner!$E$5+1654&lt;=Rechner!$B$6,Rechner!$E$5+1654,""))</f>
        <v/>
      </c>
      <c r="B1656">
        <f>IF(A1656="","",LOOKUP(A1656,Basiszins!$A$5:$A$18,Basiszins!$B$5:$B$18))</f>
        <v/>
      </c>
      <c r="C1656">
        <f>IF(A1656="","",B1656+Rechner!$E$7)</f>
        <v/>
      </c>
      <c r="D1656">
        <f>J1655</f>
        <v/>
      </c>
      <c r="E1656">
        <f>IF(A1656="",0,D1656*C1656/100/(DATE(YEAR(A1656)+1,1,1)-DATE(YEAR(A1656),1,1)))</f>
        <v/>
      </c>
      <c r="F1656">
        <f>IF(A1656="",0,SUMIF(Rechner!$A$12:$A$21,A1656,Rechner!$B$12:$B$21))</f>
        <v/>
      </c>
      <c r="G1656">
        <f>H1655+E1656</f>
        <v/>
      </c>
      <c r="H1656">
        <f>G1656-MIN(F1656,G1656)</f>
        <v/>
      </c>
      <c r="I1656">
        <f>MIN(F1656-MIN(F1656,G1656),D1656)</f>
        <v/>
      </c>
      <c r="J1656">
        <f>D1656-I1656</f>
        <v/>
      </c>
      <c r="K1656">
        <f>F1656-MIN(F1656,G1656)-I1656</f>
        <v/>
      </c>
    </row>
    <row r="1657">
      <c r="A1657" s="21">
        <f>IF(Rechner!$E$4&lt;&gt;"ok","",IF(Rechner!$E$5+1655&lt;=Rechner!$B$6,Rechner!$E$5+1655,""))</f>
        <v/>
      </c>
      <c r="B1657">
        <f>IF(A1657="","",LOOKUP(A1657,Basiszins!$A$5:$A$18,Basiszins!$B$5:$B$18))</f>
        <v/>
      </c>
      <c r="C1657">
        <f>IF(A1657="","",B1657+Rechner!$E$7)</f>
        <v/>
      </c>
      <c r="D1657">
        <f>J1656</f>
        <v/>
      </c>
      <c r="E1657">
        <f>IF(A1657="",0,D1657*C1657/100/(DATE(YEAR(A1657)+1,1,1)-DATE(YEAR(A1657),1,1)))</f>
        <v/>
      </c>
      <c r="F1657">
        <f>IF(A1657="",0,SUMIF(Rechner!$A$12:$A$21,A1657,Rechner!$B$12:$B$21))</f>
        <v/>
      </c>
      <c r="G1657">
        <f>H1656+E1657</f>
        <v/>
      </c>
      <c r="H1657">
        <f>G1657-MIN(F1657,G1657)</f>
        <v/>
      </c>
      <c r="I1657">
        <f>MIN(F1657-MIN(F1657,G1657),D1657)</f>
        <v/>
      </c>
      <c r="J1657">
        <f>D1657-I1657</f>
        <v/>
      </c>
      <c r="K1657">
        <f>F1657-MIN(F1657,G1657)-I1657</f>
        <v/>
      </c>
    </row>
    <row r="1658">
      <c r="A1658" s="21">
        <f>IF(Rechner!$E$4&lt;&gt;"ok","",IF(Rechner!$E$5+1656&lt;=Rechner!$B$6,Rechner!$E$5+1656,""))</f>
        <v/>
      </c>
      <c r="B1658">
        <f>IF(A1658="","",LOOKUP(A1658,Basiszins!$A$5:$A$18,Basiszins!$B$5:$B$18))</f>
        <v/>
      </c>
      <c r="C1658">
        <f>IF(A1658="","",B1658+Rechner!$E$7)</f>
        <v/>
      </c>
      <c r="D1658">
        <f>J1657</f>
        <v/>
      </c>
      <c r="E1658">
        <f>IF(A1658="",0,D1658*C1658/100/(DATE(YEAR(A1658)+1,1,1)-DATE(YEAR(A1658),1,1)))</f>
        <v/>
      </c>
      <c r="F1658">
        <f>IF(A1658="",0,SUMIF(Rechner!$A$12:$A$21,A1658,Rechner!$B$12:$B$21))</f>
        <v/>
      </c>
      <c r="G1658">
        <f>H1657+E1658</f>
        <v/>
      </c>
      <c r="H1658">
        <f>G1658-MIN(F1658,G1658)</f>
        <v/>
      </c>
      <c r="I1658">
        <f>MIN(F1658-MIN(F1658,G1658),D1658)</f>
        <v/>
      </c>
      <c r="J1658">
        <f>D1658-I1658</f>
        <v/>
      </c>
      <c r="K1658">
        <f>F1658-MIN(F1658,G1658)-I1658</f>
        <v/>
      </c>
    </row>
    <row r="1659">
      <c r="A1659" s="21">
        <f>IF(Rechner!$E$4&lt;&gt;"ok","",IF(Rechner!$E$5+1657&lt;=Rechner!$B$6,Rechner!$E$5+1657,""))</f>
        <v/>
      </c>
      <c r="B1659">
        <f>IF(A1659="","",LOOKUP(A1659,Basiszins!$A$5:$A$18,Basiszins!$B$5:$B$18))</f>
        <v/>
      </c>
      <c r="C1659">
        <f>IF(A1659="","",B1659+Rechner!$E$7)</f>
        <v/>
      </c>
      <c r="D1659">
        <f>J1658</f>
        <v/>
      </c>
      <c r="E1659">
        <f>IF(A1659="",0,D1659*C1659/100/(DATE(YEAR(A1659)+1,1,1)-DATE(YEAR(A1659),1,1)))</f>
        <v/>
      </c>
      <c r="F1659">
        <f>IF(A1659="",0,SUMIF(Rechner!$A$12:$A$21,A1659,Rechner!$B$12:$B$21))</f>
        <v/>
      </c>
      <c r="G1659">
        <f>H1658+E1659</f>
        <v/>
      </c>
      <c r="H1659">
        <f>G1659-MIN(F1659,G1659)</f>
        <v/>
      </c>
      <c r="I1659">
        <f>MIN(F1659-MIN(F1659,G1659),D1659)</f>
        <v/>
      </c>
      <c r="J1659">
        <f>D1659-I1659</f>
        <v/>
      </c>
      <c r="K1659">
        <f>F1659-MIN(F1659,G1659)-I1659</f>
        <v/>
      </c>
    </row>
    <row r="1660">
      <c r="A1660" s="21">
        <f>IF(Rechner!$E$4&lt;&gt;"ok","",IF(Rechner!$E$5+1658&lt;=Rechner!$B$6,Rechner!$E$5+1658,""))</f>
        <v/>
      </c>
      <c r="B1660">
        <f>IF(A1660="","",LOOKUP(A1660,Basiszins!$A$5:$A$18,Basiszins!$B$5:$B$18))</f>
        <v/>
      </c>
      <c r="C1660">
        <f>IF(A1660="","",B1660+Rechner!$E$7)</f>
        <v/>
      </c>
      <c r="D1660">
        <f>J1659</f>
        <v/>
      </c>
      <c r="E1660">
        <f>IF(A1660="",0,D1660*C1660/100/(DATE(YEAR(A1660)+1,1,1)-DATE(YEAR(A1660),1,1)))</f>
        <v/>
      </c>
      <c r="F1660">
        <f>IF(A1660="",0,SUMIF(Rechner!$A$12:$A$21,A1660,Rechner!$B$12:$B$21))</f>
        <v/>
      </c>
      <c r="G1660">
        <f>H1659+E1660</f>
        <v/>
      </c>
      <c r="H1660">
        <f>G1660-MIN(F1660,G1660)</f>
        <v/>
      </c>
      <c r="I1660">
        <f>MIN(F1660-MIN(F1660,G1660),D1660)</f>
        <v/>
      </c>
      <c r="J1660">
        <f>D1660-I1660</f>
        <v/>
      </c>
      <c r="K1660">
        <f>F1660-MIN(F1660,G1660)-I1660</f>
        <v/>
      </c>
    </row>
    <row r="1661">
      <c r="A1661" s="21">
        <f>IF(Rechner!$E$4&lt;&gt;"ok","",IF(Rechner!$E$5+1659&lt;=Rechner!$B$6,Rechner!$E$5+1659,""))</f>
        <v/>
      </c>
      <c r="B1661">
        <f>IF(A1661="","",LOOKUP(A1661,Basiszins!$A$5:$A$18,Basiszins!$B$5:$B$18))</f>
        <v/>
      </c>
      <c r="C1661">
        <f>IF(A1661="","",B1661+Rechner!$E$7)</f>
        <v/>
      </c>
      <c r="D1661">
        <f>J1660</f>
        <v/>
      </c>
      <c r="E1661">
        <f>IF(A1661="",0,D1661*C1661/100/(DATE(YEAR(A1661)+1,1,1)-DATE(YEAR(A1661),1,1)))</f>
        <v/>
      </c>
      <c r="F1661">
        <f>IF(A1661="",0,SUMIF(Rechner!$A$12:$A$21,A1661,Rechner!$B$12:$B$21))</f>
        <v/>
      </c>
      <c r="G1661">
        <f>H1660+E1661</f>
        <v/>
      </c>
      <c r="H1661">
        <f>G1661-MIN(F1661,G1661)</f>
        <v/>
      </c>
      <c r="I1661">
        <f>MIN(F1661-MIN(F1661,G1661),D1661)</f>
        <v/>
      </c>
      <c r="J1661">
        <f>D1661-I1661</f>
        <v/>
      </c>
      <c r="K1661">
        <f>F1661-MIN(F1661,G1661)-I1661</f>
        <v/>
      </c>
    </row>
    <row r="1662">
      <c r="A1662" s="21">
        <f>IF(Rechner!$E$4&lt;&gt;"ok","",IF(Rechner!$E$5+1660&lt;=Rechner!$B$6,Rechner!$E$5+1660,""))</f>
        <v/>
      </c>
      <c r="B1662">
        <f>IF(A1662="","",LOOKUP(A1662,Basiszins!$A$5:$A$18,Basiszins!$B$5:$B$18))</f>
        <v/>
      </c>
      <c r="C1662">
        <f>IF(A1662="","",B1662+Rechner!$E$7)</f>
        <v/>
      </c>
      <c r="D1662">
        <f>J1661</f>
        <v/>
      </c>
      <c r="E1662">
        <f>IF(A1662="",0,D1662*C1662/100/(DATE(YEAR(A1662)+1,1,1)-DATE(YEAR(A1662),1,1)))</f>
        <v/>
      </c>
      <c r="F1662">
        <f>IF(A1662="",0,SUMIF(Rechner!$A$12:$A$21,A1662,Rechner!$B$12:$B$21))</f>
        <v/>
      </c>
      <c r="G1662">
        <f>H1661+E1662</f>
        <v/>
      </c>
      <c r="H1662">
        <f>G1662-MIN(F1662,G1662)</f>
        <v/>
      </c>
      <c r="I1662">
        <f>MIN(F1662-MIN(F1662,G1662),D1662)</f>
        <v/>
      </c>
      <c r="J1662">
        <f>D1662-I1662</f>
        <v/>
      </c>
      <c r="K1662">
        <f>F1662-MIN(F1662,G1662)-I1662</f>
        <v/>
      </c>
    </row>
    <row r="1663">
      <c r="A1663" s="21">
        <f>IF(Rechner!$E$4&lt;&gt;"ok","",IF(Rechner!$E$5+1661&lt;=Rechner!$B$6,Rechner!$E$5+1661,""))</f>
        <v/>
      </c>
      <c r="B1663">
        <f>IF(A1663="","",LOOKUP(A1663,Basiszins!$A$5:$A$18,Basiszins!$B$5:$B$18))</f>
        <v/>
      </c>
      <c r="C1663">
        <f>IF(A1663="","",B1663+Rechner!$E$7)</f>
        <v/>
      </c>
      <c r="D1663">
        <f>J1662</f>
        <v/>
      </c>
      <c r="E1663">
        <f>IF(A1663="",0,D1663*C1663/100/(DATE(YEAR(A1663)+1,1,1)-DATE(YEAR(A1663),1,1)))</f>
        <v/>
      </c>
      <c r="F1663">
        <f>IF(A1663="",0,SUMIF(Rechner!$A$12:$A$21,A1663,Rechner!$B$12:$B$21))</f>
        <v/>
      </c>
      <c r="G1663">
        <f>H1662+E1663</f>
        <v/>
      </c>
      <c r="H1663">
        <f>G1663-MIN(F1663,G1663)</f>
        <v/>
      </c>
      <c r="I1663">
        <f>MIN(F1663-MIN(F1663,G1663),D1663)</f>
        <v/>
      </c>
      <c r="J1663">
        <f>D1663-I1663</f>
        <v/>
      </c>
      <c r="K1663">
        <f>F1663-MIN(F1663,G1663)-I1663</f>
        <v/>
      </c>
    </row>
    <row r="1664">
      <c r="A1664" s="21">
        <f>IF(Rechner!$E$4&lt;&gt;"ok","",IF(Rechner!$E$5+1662&lt;=Rechner!$B$6,Rechner!$E$5+1662,""))</f>
        <v/>
      </c>
      <c r="B1664">
        <f>IF(A1664="","",LOOKUP(A1664,Basiszins!$A$5:$A$18,Basiszins!$B$5:$B$18))</f>
        <v/>
      </c>
      <c r="C1664">
        <f>IF(A1664="","",B1664+Rechner!$E$7)</f>
        <v/>
      </c>
      <c r="D1664">
        <f>J1663</f>
        <v/>
      </c>
      <c r="E1664">
        <f>IF(A1664="",0,D1664*C1664/100/(DATE(YEAR(A1664)+1,1,1)-DATE(YEAR(A1664),1,1)))</f>
        <v/>
      </c>
      <c r="F1664">
        <f>IF(A1664="",0,SUMIF(Rechner!$A$12:$A$21,A1664,Rechner!$B$12:$B$21))</f>
        <v/>
      </c>
      <c r="G1664">
        <f>H1663+E1664</f>
        <v/>
      </c>
      <c r="H1664">
        <f>G1664-MIN(F1664,G1664)</f>
        <v/>
      </c>
      <c r="I1664">
        <f>MIN(F1664-MIN(F1664,G1664),D1664)</f>
        <v/>
      </c>
      <c r="J1664">
        <f>D1664-I1664</f>
        <v/>
      </c>
      <c r="K1664">
        <f>F1664-MIN(F1664,G1664)-I1664</f>
        <v/>
      </c>
    </row>
    <row r="1665">
      <c r="A1665" s="21">
        <f>IF(Rechner!$E$4&lt;&gt;"ok","",IF(Rechner!$E$5+1663&lt;=Rechner!$B$6,Rechner!$E$5+1663,""))</f>
        <v/>
      </c>
      <c r="B1665">
        <f>IF(A1665="","",LOOKUP(A1665,Basiszins!$A$5:$A$18,Basiszins!$B$5:$B$18))</f>
        <v/>
      </c>
      <c r="C1665">
        <f>IF(A1665="","",B1665+Rechner!$E$7)</f>
        <v/>
      </c>
      <c r="D1665">
        <f>J1664</f>
        <v/>
      </c>
      <c r="E1665">
        <f>IF(A1665="",0,D1665*C1665/100/(DATE(YEAR(A1665)+1,1,1)-DATE(YEAR(A1665),1,1)))</f>
        <v/>
      </c>
      <c r="F1665">
        <f>IF(A1665="",0,SUMIF(Rechner!$A$12:$A$21,A1665,Rechner!$B$12:$B$21))</f>
        <v/>
      </c>
      <c r="G1665">
        <f>H1664+E1665</f>
        <v/>
      </c>
      <c r="H1665">
        <f>G1665-MIN(F1665,G1665)</f>
        <v/>
      </c>
      <c r="I1665">
        <f>MIN(F1665-MIN(F1665,G1665),D1665)</f>
        <v/>
      </c>
      <c r="J1665">
        <f>D1665-I1665</f>
        <v/>
      </c>
      <c r="K1665">
        <f>F1665-MIN(F1665,G1665)-I1665</f>
        <v/>
      </c>
    </row>
    <row r="1666">
      <c r="A1666" s="21">
        <f>IF(Rechner!$E$4&lt;&gt;"ok","",IF(Rechner!$E$5+1664&lt;=Rechner!$B$6,Rechner!$E$5+1664,""))</f>
        <v/>
      </c>
      <c r="B1666">
        <f>IF(A1666="","",LOOKUP(A1666,Basiszins!$A$5:$A$18,Basiszins!$B$5:$B$18))</f>
        <v/>
      </c>
      <c r="C1666">
        <f>IF(A1666="","",B1666+Rechner!$E$7)</f>
        <v/>
      </c>
      <c r="D1666">
        <f>J1665</f>
        <v/>
      </c>
      <c r="E1666">
        <f>IF(A1666="",0,D1666*C1666/100/(DATE(YEAR(A1666)+1,1,1)-DATE(YEAR(A1666),1,1)))</f>
        <v/>
      </c>
      <c r="F1666">
        <f>IF(A1666="",0,SUMIF(Rechner!$A$12:$A$21,A1666,Rechner!$B$12:$B$21))</f>
        <v/>
      </c>
      <c r="G1666">
        <f>H1665+E1666</f>
        <v/>
      </c>
      <c r="H1666">
        <f>G1666-MIN(F1666,G1666)</f>
        <v/>
      </c>
      <c r="I1666">
        <f>MIN(F1666-MIN(F1666,G1666),D1666)</f>
        <v/>
      </c>
      <c r="J1666">
        <f>D1666-I1666</f>
        <v/>
      </c>
      <c r="K1666">
        <f>F1666-MIN(F1666,G1666)-I1666</f>
        <v/>
      </c>
    </row>
    <row r="1667">
      <c r="A1667" s="21">
        <f>IF(Rechner!$E$4&lt;&gt;"ok","",IF(Rechner!$E$5+1665&lt;=Rechner!$B$6,Rechner!$E$5+1665,""))</f>
        <v/>
      </c>
      <c r="B1667">
        <f>IF(A1667="","",LOOKUP(A1667,Basiszins!$A$5:$A$18,Basiszins!$B$5:$B$18))</f>
        <v/>
      </c>
      <c r="C1667">
        <f>IF(A1667="","",B1667+Rechner!$E$7)</f>
        <v/>
      </c>
      <c r="D1667">
        <f>J1666</f>
        <v/>
      </c>
      <c r="E1667">
        <f>IF(A1667="",0,D1667*C1667/100/(DATE(YEAR(A1667)+1,1,1)-DATE(YEAR(A1667),1,1)))</f>
        <v/>
      </c>
      <c r="F1667">
        <f>IF(A1667="",0,SUMIF(Rechner!$A$12:$A$21,A1667,Rechner!$B$12:$B$21))</f>
        <v/>
      </c>
      <c r="G1667">
        <f>H1666+E1667</f>
        <v/>
      </c>
      <c r="H1667">
        <f>G1667-MIN(F1667,G1667)</f>
        <v/>
      </c>
      <c r="I1667">
        <f>MIN(F1667-MIN(F1667,G1667),D1667)</f>
        <v/>
      </c>
      <c r="J1667">
        <f>D1667-I1667</f>
        <v/>
      </c>
      <c r="K1667">
        <f>F1667-MIN(F1667,G1667)-I1667</f>
        <v/>
      </c>
    </row>
    <row r="1668">
      <c r="A1668" s="21">
        <f>IF(Rechner!$E$4&lt;&gt;"ok","",IF(Rechner!$E$5+1666&lt;=Rechner!$B$6,Rechner!$E$5+1666,""))</f>
        <v/>
      </c>
      <c r="B1668">
        <f>IF(A1668="","",LOOKUP(A1668,Basiszins!$A$5:$A$18,Basiszins!$B$5:$B$18))</f>
        <v/>
      </c>
      <c r="C1668">
        <f>IF(A1668="","",B1668+Rechner!$E$7)</f>
        <v/>
      </c>
      <c r="D1668">
        <f>J1667</f>
        <v/>
      </c>
      <c r="E1668">
        <f>IF(A1668="",0,D1668*C1668/100/(DATE(YEAR(A1668)+1,1,1)-DATE(YEAR(A1668),1,1)))</f>
        <v/>
      </c>
      <c r="F1668">
        <f>IF(A1668="",0,SUMIF(Rechner!$A$12:$A$21,A1668,Rechner!$B$12:$B$21))</f>
        <v/>
      </c>
      <c r="G1668">
        <f>H1667+E1668</f>
        <v/>
      </c>
      <c r="H1668">
        <f>G1668-MIN(F1668,G1668)</f>
        <v/>
      </c>
      <c r="I1668">
        <f>MIN(F1668-MIN(F1668,G1668),D1668)</f>
        <v/>
      </c>
      <c r="J1668">
        <f>D1668-I1668</f>
        <v/>
      </c>
      <c r="K1668">
        <f>F1668-MIN(F1668,G1668)-I1668</f>
        <v/>
      </c>
    </row>
    <row r="1669">
      <c r="A1669" s="21">
        <f>IF(Rechner!$E$4&lt;&gt;"ok","",IF(Rechner!$E$5+1667&lt;=Rechner!$B$6,Rechner!$E$5+1667,""))</f>
        <v/>
      </c>
      <c r="B1669">
        <f>IF(A1669="","",LOOKUP(A1669,Basiszins!$A$5:$A$18,Basiszins!$B$5:$B$18))</f>
        <v/>
      </c>
      <c r="C1669">
        <f>IF(A1669="","",B1669+Rechner!$E$7)</f>
        <v/>
      </c>
      <c r="D1669">
        <f>J1668</f>
        <v/>
      </c>
      <c r="E1669">
        <f>IF(A1669="",0,D1669*C1669/100/(DATE(YEAR(A1669)+1,1,1)-DATE(YEAR(A1669),1,1)))</f>
        <v/>
      </c>
      <c r="F1669">
        <f>IF(A1669="",0,SUMIF(Rechner!$A$12:$A$21,A1669,Rechner!$B$12:$B$21))</f>
        <v/>
      </c>
      <c r="G1669">
        <f>H1668+E1669</f>
        <v/>
      </c>
      <c r="H1669">
        <f>G1669-MIN(F1669,G1669)</f>
        <v/>
      </c>
      <c r="I1669">
        <f>MIN(F1669-MIN(F1669,G1669),D1669)</f>
        <v/>
      </c>
      <c r="J1669">
        <f>D1669-I1669</f>
        <v/>
      </c>
      <c r="K1669">
        <f>F1669-MIN(F1669,G1669)-I1669</f>
        <v/>
      </c>
    </row>
    <row r="1670">
      <c r="A1670" s="21">
        <f>IF(Rechner!$E$4&lt;&gt;"ok","",IF(Rechner!$E$5+1668&lt;=Rechner!$B$6,Rechner!$E$5+1668,""))</f>
        <v/>
      </c>
      <c r="B1670">
        <f>IF(A1670="","",LOOKUP(A1670,Basiszins!$A$5:$A$18,Basiszins!$B$5:$B$18))</f>
        <v/>
      </c>
      <c r="C1670">
        <f>IF(A1670="","",B1670+Rechner!$E$7)</f>
        <v/>
      </c>
      <c r="D1670">
        <f>J1669</f>
        <v/>
      </c>
      <c r="E1670">
        <f>IF(A1670="",0,D1670*C1670/100/(DATE(YEAR(A1670)+1,1,1)-DATE(YEAR(A1670),1,1)))</f>
        <v/>
      </c>
      <c r="F1670">
        <f>IF(A1670="",0,SUMIF(Rechner!$A$12:$A$21,A1670,Rechner!$B$12:$B$21))</f>
        <v/>
      </c>
      <c r="G1670">
        <f>H1669+E1670</f>
        <v/>
      </c>
      <c r="H1670">
        <f>G1670-MIN(F1670,G1670)</f>
        <v/>
      </c>
      <c r="I1670">
        <f>MIN(F1670-MIN(F1670,G1670),D1670)</f>
        <v/>
      </c>
      <c r="J1670">
        <f>D1670-I1670</f>
        <v/>
      </c>
      <c r="K1670">
        <f>F1670-MIN(F1670,G1670)-I1670</f>
        <v/>
      </c>
    </row>
    <row r="1671">
      <c r="A1671" s="21">
        <f>IF(Rechner!$E$4&lt;&gt;"ok","",IF(Rechner!$E$5+1669&lt;=Rechner!$B$6,Rechner!$E$5+1669,""))</f>
        <v/>
      </c>
      <c r="B1671">
        <f>IF(A1671="","",LOOKUP(A1671,Basiszins!$A$5:$A$18,Basiszins!$B$5:$B$18))</f>
        <v/>
      </c>
      <c r="C1671">
        <f>IF(A1671="","",B1671+Rechner!$E$7)</f>
        <v/>
      </c>
      <c r="D1671">
        <f>J1670</f>
        <v/>
      </c>
      <c r="E1671">
        <f>IF(A1671="",0,D1671*C1671/100/(DATE(YEAR(A1671)+1,1,1)-DATE(YEAR(A1671),1,1)))</f>
        <v/>
      </c>
      <c r="F1671">
        <f>IF(A1671="",0,SUMIF(Rechner!$A$12:$A$21,A1671,Rechner!$B$12:$B$21))</f>
        <v/>
      </c>
      <c r="G1671">
        <f>H1670+E1671</f>
        <v/>
      </c>
      <c r="H1671">
        <f>G1671-MIN(F1671,G1671)</f>
        <v/>
      </c>
      <c r="I1671">
        <f>MIN(F1671-MIN(F1671,G1671),D1671)</f>
        <v/>
      </c>
      <c r="J1671">
        <f>D1671-I1671</f>
        <v/>
      </c>
      <c r="K1671">
        <f>F1671-MIN(F1671,G1671)-I1671</f>
        <v/>
      </c>
    </row>
    <row r="1672">
      <c r="A1672" s="21">
        <f>IF(Rechner!$E$4&lt;&gt;"ok","",IF(Rechner!$E$5+1670&lt;=Rechner!$B$6,Rechner!$E$5+1670,""))</f>
        <v/>
      </c>
      <c r="B1672">
        <f>IF(A1672="","",LOOKUP(A1672,Basiszins!$A$5:$A$18,Basiszins!$B$5:$B$18))</f>
        <v/>
      </c>
      <c r="C1672">
        <f>IF(A1672="","",B1672+Rechner!$E$7)</f>
        <v/>
      </c>
      <c r="D1672">
        <f>J1671</f>
        <v/>
      </c>
      <c r="E1672">
        <f>IF(A1672="",0,D1672*C1672/100/(DATE(YEAR(A1672)+1,1,1)-DATE(YEAR(A1672),1,1)))</f>
        <v/>
      </c>
      <c r="F1672">
        <f>IF(A1672="",0,SUMIF(Rechner!$A$12:$A$21,A1672,Rechner!$B$12:$B$21))</f>
        <v/>
      </c>
      <c r="G1672">
        <f>H1671+E1672</f>
        <v/>
      </c>
      <c r="H1672">
        <f>G1672-MIN(F1672,G1672)</f>
        <v/>
      </c>
      <c r="I1672">
        <f>MIN(F1672-MIN(F1672,G1672),D1672)</f>
        <v/>
      </c>
      <c r="J1672">
        <f>D1672-I1672</f>
        <v/>
      </c>
      <c r="K1672">
        <f>F1672-MIN(F1672,G1672)-I1672</f>
        <v/>
      </c>
    </row>
    <row r="1673">
      <c r="A1673" s="21">
        <f>IF(Rechner!$E$4&lt;&gt;"ok","",IF(Rechner!$E$5+1671&lt;=Rechner!$B$6,Rechner!$E$5+1671,""))</f>
        <v/>
      </c>
      <c r="B1673">
        <f>IF(A1673="","",LOOKUP(A1673,Basiszins!$A$5:$A$18,Basiszins!$B$5:$B$18))</f>
        <v/>
      </c>
      <c r="C1673">
        <f>IF(A1673="","",B1673+Rechner!$E$7)</f>
        <v/>
      </c>
      <c r="D1673">
        <f>J1672</f>
        <v/>
      </c>
      <c r="E1673">
        <f>IF(A1673="",0,D1673*C1673/100/(DATE(YEAR(A1673)+1,1,1)-DATE(YEAR(A1673),1,1)))</f>
        <v/>
      </c>
      <c r="F1673">
        <f>IF(A1673="",0,SUMIF(Rechner!$A$12:$A$21,A1673,Rechner!$B$12:$B$21))</f>
        <v/>
      </c>
      <c r="G1673">
        <f>H1672+E1673</f>
        <v/>
      </c>
      <c r="H1673">
        <f>G1673-MIN(F1673,G1673)</f>
        <v/>
      </c>
      <c r="I1673">
        <f>MIN(F1673-MIN(F1673,G1673),D1673)</f>
        <v/>
      </c>
      <c r="J1673">
        <f>D1673-I1673</f>
        <v/>
      </c>
      <c r="K1673">
        <f>F1673-MIN(F1673,G1673)-I1673</f>
        <v/>
      </c>
    </row>
    <row r="1674">
      <c r="A1674" s="21">
        <f>IF(Rechner!$E$4&lt;&gt;"ok","",IF(Rechner!$E$5+1672&lt;=Rechner!$B$6,Rechner!$E$5+1672,""))</f>
        <v/>
      </c>
      <c r="B1674">
        <f>IF(A1674="","",LOOKUP(A1674,Basiszins!$A$5:$A$18,Basiszins!$B$5:$B$18))</f>
        <v/>
      </c>
      <c r="C1674">
        <f>IF(A1674="","",B1674+Rechner!$E$7)</f>
        <v/>
      </c>
      <c r="D1674">
        <f>J1673</f>
        <v/>
      </c>
      <c r="E1674">
        <f>IF(A1674="",0,D1674*C1674/100/(DATE(YEAR(A1674)+1,1,1)-DATE(YEAR(A1674),1,1)))</f>
        <v/>
      </c>
      <c r="F1674">
        <f>IF(A1674="",0,SUMIF(Rechner!$A$12:$A$21,A1674,Rechner!$B$12:$B$21))</f>
        <v/>
      </c>
      <c r="G1674">
        <f>H1673+E1674</f>
        <v/>
      </c>
      <c r="H1674">
        <f>G1674-MIN(F1674,G1674)</f>
        <v/>
      </c>
      <c r="I1674">
        <f>MIN(F1674-MIN(F1674,G1674),D1674)</f>
        <v/>
      </c>
      <c r="J1674">
        <f>D1674-I1674</f>
        <v/>
      </c>
      <c r="K1674">
        <f>F1674-MIN(F1674,G1674)-I1674</f>
        <v/>
      </c>
    </row>
    <row r="1675">
      <c r="A1675" s="21">
        <f>IF(Rechner!$E$4&lt;&gt;"ok","",IF(Rechner!$E$5+1673&lt;=Rechner!$B$6,Rechner!$E$5+1673,""))</f>
        <v/>
      </c>
      <c r="B1675">
        <f>IF(A1675="","",LOOKUP(A1675,Basiszins!$A$5:$A$18,Basiszins!$B$5:$B$18))</f>
        <v/>
      </c>
      <c r="C1675">
        <f>IF(A1675="","",B1675+Rechner!$E$7)</f>
        <v/>
      </c>
      <c r="D1675">
        <f>J1674</f>
        <v/>
      </c>
      <c r="E1675">
        <f>IF(A1675="",0,D1675*C1675/100/(DATE(YEAR(A1675)+1,1,1)-DATE(YEAR(A1675),1,1)))</f>
        <v/>
      </c>
      <c r="F1675">
        <f>IF(A1675="",0,SUMIF(Rechner!$A$12:$A$21,A1675,Rechner!$B$12:$B$21))</f>
        <v/>
      </c>
      <c r="G1675">
        <f>H1674+E1675</f>
        <v/>
      </c>
      <c r="H1675">
        <f>G1675-MIN(F1675,G1675)</f>
        <v/>
      </c>
      <c r="I1675">
        <f>MIN(F1675-MIN(F1675,G1675),D1675)</f>
        <v/>
      </c>
      <c r="J1675">
        <f>D1675-I1675</f>
        <v/>
      </c>
      <c r="K1675">
        <f>F1675-MIN(F1675,G1675)-I1675</f>
        <v/>
      </c>
    </row>
    <row r="1676">
      <c r="A1676" s="21">
        <f>IF(Rechner!$E$4&lt;&gt;"ok","",IF(Rechner!$E$5+1674&lt;=Rechner!$B$6,Rechner!$E$5+1674,""))</f>
        <v/>
      </c>
      <c r="B1676">
        <f>IF(A1676="","",LOOKUP(A1676,Basiszins!$A$5:$A$18,Basiszins!$B$5:$B$18))</f>
        <v/>
      </c>
      <c r="C1676">
        <f>IF(A1676="","",B1676+Rechner!$E$7)</f>
        <v/>
      </c>
      <c r="D1676">
        <f>J1675</f>
        <v/>
      </c>
      <c r="E1676">
        <f>IF(A1676="",0,D1676*C1676/100/(DATE(YEAR(A1676)+1,1,1)-DATE(YEAR(A1676),1,1)))</f>
        <v/>
      </c>
      <c r="F1676">
        <f>IF(A1676="",0,SUMIF(Rechner!$A$12:$A$21,A1676,Rechner!$B$12:$B$21))</f>
        <v/>
      </c>
      <c r="G1676">
        <f>H1675+E1676</f>
        <v/>
      </c>
      <c r="H1676">
        <f>G1676-MIN(F1676,G1676)</f>
        <v/>
      </c>
      <c r="I1676">
        <f>MIN(F1676-MIN(F1676,G1676),D1676)</f>
        <v/>
      </c>
      <c r="J1676">
        <f>D1676-I1676</f>
        <v/>
      </c>
      <c r="K1676">
        <f>F1676-MIN(F1676,G1676)-I1676</f>
        <v/>
      </c>
    </row>
    <row r="1677">
      <c r="A1677" s="21">
        <f>IF(Rechner!$E$4&lt;&gt;"ok","",IF(Rechner!$E$5+1675&lt;=Rechner!$B$6,Rechner!$E$5+1675,""))</f>
        <v/>
      </c>
      <c r="B1677">
        <f>IF(A1677="","",LOOKUP(A1677,Basiszins!$A$5:$A$18,Basiszins!$B$5:$B$18))</f>
        <v/>
      </c>
      <c r="C1677">
        <f>IF(A1677="","",B1677+Rechner!$E$7)</f>
        <v/>
      </c>
      <c r="D1677">
        <f>J1676</f>
        <v/>
      </c>
      <c r="E1677">
        <f>IF(A1677="",0,D1677*C1677/100/(DATE(YEAR(A1677)+1,1,1)-DATE(YEAR(A1677),1,1)))</f>
        <v/>
      </c>
      <c r="F1677">
        <f>IF(A1677="",0,SUMIF(Rechner!$A$12:$A$21,A1677,Rechner!$B$12:$B$21))</f>
        <v/>
      </c>
      <c r="G1677">
        <f>H1676+E1677</f>
        <v/>
      </c>
      <c r="H1677">
        <f>G1677-MIN(F1677,G1677)</f>
        <v/>
      </c>
      <c r="I1677">
        <f>MIN(F1677-MIN(F1677,G1677),D1677)</f>
        <v/>
      </c>
      <c r="J1677">
        <f>D1677-I1677</f>
        <v/>
      </c>
      <c r="K1677">
        <f>F1677-MIN(F1677,G1677)-I1677</f>
        <v/>
      </c>
    </row>
    <row r="1678">
      <c r="A1678" s="21">
        <f>IF(Rechner!$E$4&lt;&gt;"ok","",IF(Rechner!$E$5+1676&lt;=Rechner!$B$6,Rechner!$E$5+1676,""))</f>
        <v/>
      </c>
      <c r="B1678">
        <f>IF(A1678="","",LOOKUP(A1678,Basiszins!$A$5:$A$18,Basiszins!$B$5:$B$18))</f>
        <v/>
      </c>
      <c r="C1678">
        <f>IF(A1678="","",B1678+Rechner!$E$7)</f>
        <v/>
      </c>
      <c r="D1678">
        <f>J1677</f>
        <v/>
      </c>
      <c r="E1678">
        <f>IF(A1678="",0,D1678*C1678/100/(DATE(YEAR(A1678)+1,1,1)-DATE(YEAR(A1678),1,1)))</f>
        <v/>
      </c>
      <c r="F1678">
        <f>IF(A1678="",0,SUMIF(Rechner!$A$12:$A$21,A1678,Rechner!$B$12:$B$21))</f>
        <v/>
      </c>
      <c r="G1678">
        <f>H1677+E1678</f>
        <v/>
      </c>
      <c r="H1678">
        <f>G1678-MIN(F1678,G1678)</f>
        <v/>
      </c>
      <c r="I1678">
        <f>MIN(F1678-MIN(F1678,G1678),D1678)</f>
        <v/>
      </c>
      <c r="J1678">
        <f>D1678-I1678</f>
        <v/>
      </c>
      <c r="K1678">
        <f>F1678-MIN(F1678,G1678)-I1678</f>
        <v/>
      </c>
    </row>
    <row r="1679">
      <c r="A1679" s="21">
        <f>IF(Rechner!$E$4&lt;&gt;"ok","",IF(Rechner!$E$5+1677&lt;=Rechner!$B$6,Rechner!$E$5+1677,""))</f>
        <v/>
      </c>
      <c r="B1679">
        <f>IF(A1679="","",LOOKUP(A1679,Basiszins!$A$5:$A$18,Basiszins!$B$5:$B$18))</f>
        <v/>
      </c>
      <c r="C1679">
        <f>IF(A1679="","",B1679+Rechner!$E$7)</f>
        <v/>
      </c>
      <c r="D1679">
        <f>J1678</f>
        <v/>
      </c>
      <c r="E1679">
        <f>IF(A1679="",0,D1679*C1679/100/(DATE(YEAR(A1679)+1,1,1)-DATE(YEAR(A1679),1,1)))</f>
        <v/>
      </c>
      <c r="F1679">
        <f>IF(A1679="",0,SUMIF(Rechner!$A$12:$A$21,A1679,Rechner!$B$12:$B$21))</f>
        <v/>
      </c>
      <c r="G1679">
        <f>H1678+E1679</f>
        <v/>
      </c>
      <c r="H1679">
        <f>G1679-MIN(F1679,G1679)</f>
        <v/>
      </c>
      <c r="I1679">
        <f>MIN(F1679-MIN(F1679,G1679),D1679)</f>
        <v/>
      </c>
      <c r="J1679">
        <f>D1679-I1679</f>
        <v/>
      </c>
      <c r="K1679">
        <f>F1679-MIN(F1679,G1679)-I1679</f>
        <v/>
      </c>
    </row>
    <row r="1680">
      <c r="A1680" s="21">
        <f>IF(Rechner!$E$4&lt;&gt;"ok","",IF(Rechner!$E$5+1678&lt;=Rechner!$B$6,Rechner!$E$5+1678,""))</f>
        <v/>
      </c>
      <c r="B1680">
        <f>IF(A1680="","",LOOKUP(A1680,Basiszins!$A$5:$A$18,Basiszins!$B$5:$B$18))</f>
        <v/>
      </c>
      <c r="C1680">
        <f>IF(A1680="","",B1680+Rechner!$E$7)</f>
        <v/>
      </c>
      <c r="D1680">
        <f>J1679</f>
        <v/>
      </c>
      <c r="E1680">
        <f>IF(A1680="",0,D1680*C1680/100/(DATE(YEAR(A1680)+1,1,1)-DATE(YEAR(A1680),1,1)))</f>
        <v/>
      </c>
      <c r="F1680">
        <f>IF(A1680="",0,SUMIF(Rechner!$A$12:$A$21,A1680,Rechner!$B$12:$B$21))</f>
        <v/>
      </c>
      <c r="G1680">
        <f>H1679+E1680</f>
        <v/>
      </c>
      <c r="H1680">
        <f>G1680-MIN(F1680,G1680)</f>
        <v/>
      </c>
      <c r="I1680">
        <f>MIN(F1680-MIN(F1680,G1680),D1680)</f>
        <v/>
      </c>
      <c r="J1680">
        <f>D1680-I1680</f>
        <v/>
      </c>
      <c r="K1680">
        <f>F1680-MIN(F1680,G1680)-I1680</f>
        <v/>
      </c>
    </row>
    <row r="1681">
      <c r="A1681" s="21">
        <f>IF(Rechner!$E$4&lt;&gt;"ok","",IF(Rechner!$E$5+1679&lt;=Rechner!$B$6,Rechner!$E$5+1679,""))</f>
        <v/>
      </c>
      <c r="B1681">
        <f>IF(A1681="","",LOOKUP(A1681,Basiszins!$A$5:$A$18,Basiszins!$B$5:$B$18))</f>
        <v/>
      </c>
      <c r="C1681">
        <f>IF(A1681="","",B1681+Rechner!$E$7)</f>
        <v/>
      </c>
      <c r="D1681">
        <f>J1680</f>
        <v/>
      </c>
      <c r="E1681">
        <f>IF(A1681="",0,D1681*C1681/100/(DATE(YEAR(A1681)+1,1,1)-DATE(YEAR(A1681),1,1)))</f>
        <v/>
      </c>
      <c r="F1681">
        <f>IF(A1681="",0,SUMIF(Rechner!$A$12:$A$21,A1681,Rechner!$B$12:$B$21))</f>
        <v/>
      </c>
      <c r="G1681">
        <f>H1680+E1681</f>
        <v/>
      </c>
      <c r="H1681">
        <f>G1681-MIN(F1681,G1681)</f>
        <v/>
      </c>
      <c r="I1681">
        <f>MIN(F1681-MIN(F1681,G1681),D1681)</f>
        <v/>
      </c>
      <c r="J1681">
        <f>D1681-I1681</f>
        <v/>
      </c>
      <c r="K1681">
        <f>F1681-MIN(F1681,G1681)-I1681</f>
        <v/>
      </c>
    </row>
    <row r="1682">
      <c r="A1682" s="21">
        <f>IF(Rechner!$E$4&lt;&gt;"ok","",IF(Rechner!$E$5+1680&lt;=Rechner!$B$6,Rechner!$E$5+1680,""))</f>
        <v/>
      </c>
      <c r="B1682">
        <f>IF(A1682="","",LOOKUP(A1682,Basiszins!$A$5:$A$18,Basiszins!$B$5:$B$18))</f>
        <v/>
      </c>
      <c r="C1682">
        <f>IF(A1682="","",B1682+Rechner!$E$7)</f>
        <v/>
      </c>
      <c r="D1682">
        <f>J1681</f>
        <v/>
      </c>
      <c r="E1682">
        <f>IF(A1682="",0,D1682*C1682/100/(DATE(YEAR(A1682)+1,1,1)-DATE(YEAR(A1682),1,1)))</f>
        <v/>
      </c>
      <c r="F1682">
        <f>IF(A1682="",0,SUMIF(Rechner!$A$12:$A$21,A1682,Rechner!$B$12:$B$21))</f>
        <v/>
      </c>
      <c r="G1682">
        <f>H1681+E1682</f>
        <v/>
      </c>
      <c r="H1682">
        <f>G1682-MIN(F1682,G1682)</f>
        <v/>
      </c>
      <c r="I1682">
        <f>MIN(F1682-MIN(F1682,G1682),D1682)</f>
        <v/>
      </c>
      <c r="J1682">
        <f>D1682-I1682</f>
        <v/>
      </c>
      <c r="K1682">
        <f>F1682-MIN(F1682,G1682)-I1682</f>
        <v/>
      </c>
    </row>
    <row r="1683">
      <c r="A1683" s="21">
        <f>IF(Rechner!$E$4&lt;&gt;"ok","",IF(Rechner!$E$5+1681&lt;=Rechner!$B$6,Rechner!$E$5+1681,""))</f>
        <v/>
      </c>
      <c r="B1683">
        <f>IF(A1683="","",LOOKUP(A1683,Basiszins!$A$5:$A$18,Basiszins!$B$5:$B$18))</f>
        <v/>
      </c>
      <c r="C1683">
        <f>IF(A1683="","",B1683+Rechner!$E$7)</f>
        <v/>
      </c>
      <c r="D1683">
        <f>J1682</f>
        <v/>
      </c>
      <c r="E1683">
        <f>IF(A1683="",0,D1683*C1683/100/(DATE(YEAR(A1683)+1,1,1)-DATE(YEAR(A1683),1,1)))</f>
        <v/>
      </c>
      <c r="F1683">
        <f>IF(A1683="",0,SUMIF(Rechner!$A$12:$A$21,A1683,Rechner!$B$12:$B$21))</f>
        <v/>
      </c>
      <c r="G1683">
        <f>H1682+E1683</f>
        <v/>
      </c>
      <c r="H1683">
        <f>G1683-MIN(F1683,G1683)</f>
        <v/>
      </c>
      <c r="I1683">
        <f>MIN(F1683-MIN(F1683,G1683),D1683)</f>
        <v/>
      </c>
      <c r="J1683">
        <f>D1683-I1683</f>
        <v/>
      </c>
      <c r="K1683">
        <f>F1683-MIN(F1683,G1683)-I1683</f>
        <v/>
      </c>
    </row>
    <row r="1684">
      <c r="A1684" s="21">
        <f>IF(Rechner!$E$4&lt;&gt;"ok","",IF(Rechner!$E$5+1682&lt;=Rechner!$B$6,Rechner!$E$5+1682,""))</f>
        <v/>
      </c>
      <c r="B1684">
        <f>IF(A1684="","",LOOKUP(A1684,Basiszins!$A$5:$A$18,Basiszins!$B$5:$B$18))</f>
        <v/>
      </c>
      <c r="C1684">
        <f>IF(A1684="","",B1684+Rechner!$E$7)</f>
        <v/>
      </c>
      <c r="D1684">
        <f>J1683</f>
        <v/>
      </c>
      <c r="E1684">
        <f>IF(A1684="",0,D1684*C1684/100/(DATE(YEAR(A1684)+1,1,1)-DATE(YEAR(A1684),1,1)))</f>
        <v/>
      </c>
      <c r="F1684">
        <f>IF(A1684="",0,SUMIF(Rechner!$A$12:$A$21,A1684,Rechner!$B$12:$B$21))</f>
        <v/>
      </c>
      <c r="G1684">
        <f>H1683+E1684</f>
        <v/>
      </c>
      <c r="H1684">
        <f>G1684-MIN(F1684,G1684)</f>
        <v/>
      </c>
      <c r="I1684">
        <f>MIN(F1684-MIN(F1684,G1684),D1684)</f>
        <v/>
      </c>
      <c r="J1684">
        <f>D1684-I1684</f>
        <v/>
      </c>
      <c r="K1684">
        <f>F1684-MIN(F1684,G1684)-I1684</f>
        <v/>
      </c>
    </row>
    <row r="1685">
      <c r="A1685" s="21">
        <f>IF(Rechner!$E$4&lt;&gt;"ok","",IF(Rechner!$E$5+1683&lt;=Rechner!$B$6,Rechner!$E$5+1683,""))</f>
        <v/>
      </c>
      <c r="B1685">
        <f>IF(A1685="","",LOOKUP(A1685,Basiszins!$A$5:$A$18,Basiszins!$B$5:$B$18))</f>
        <v/>
      </c>
      <c r="C1685">
        <f>IF(A1685="","",B1685+Rechner!$E$7)</f>
        <v/>
      </c>
      <c r="D1685">
        <f>J1684</f>
        <v/>
      </c>
      <c r="E1685">
        <f>IF(A1685="",0,D1685*C1685/100/(DATE(YEAR(A1685)+1,1,1)-DATE(YEAR(A1685),1,1)))</f>
        <v/>
      </c>
      <c r="F1685">
        <f>IF(A1685="",0,SUMIF(Rechner!$A$12:$A$21,A1685,Rechner!$B$12:$B$21))</f>
        <v/>
      </c>
      <c r="G1685">
        <f>H1684+E1685</f>
        <v/>
      </c>
      <c r="H1685">
        <f>G1685-MIN(F1685,G1685)</f>
        <v/>
      </c>
      <c r="I1685">
        <f>MIN(F1685-MIN(F1685,G1685),D1685)</f>
        <v/>
      </c>
      <c r="J1685">
        <f>D1685-I1685</f>
        <v/>
      </c>
      <c r="K1685">
        <f>F1685-MIN(F1685,G1685)-I1685</f>
        <v/>
      </c>
    </row>
    <row r="1686">
      <c r="A1686" s="21">
        <f>IF(Rechner!$E$4&lt;&gt;"ok","",IF(Rechner!$E$5+1684&lt;=Rechner!$B$6,Rechner!$E$5+1684,""))</f>
        <v/>
      </c>
      <c r="B1686">
        <f>IF(A1686="","",LOOKUP(A1686,Basiszins!$A$5:$A$18,Basiszins!$B$5:$B$18))</f>
        <v/>
      </c>
      <c r="C1686">
        <f>IF(A1686="","",B1686+Rechner!$E$7)</f>
        <v/>
      </c>
      <c r="D1686">
        <f>J1685</f>
        <v/>
      </c>
      <c r="E1686">
        <f>IF(A1686="",0,D1686*C1686/100/(DATE(YEAR(A1686)+1,1,1)-DATE(YEAR(A1686),1,1)))</f>
        <v/>
      </c>
      <c r="F1686">
        <f>IF(A1686="",0,SUMIF(Rechner!$A$12:$A$21,A1686,Rechner!$B$12:$B$21))</f>
        <v/>
      </c>
      <c r="G1686">
        <f>H1685+E1686</f>
        <v/>
      </c>
      <c r="H1686">
        <f>G1686-MIN(F1686,G1686)</f>
        <v/>
      </c>
      <c r="I1686">
        <f>MIN(F1686-MIN(F1686,G1686),D1686)</f>
        <v/>
      </c>
      <c r="J1686">
        <f>D1686-I1686</f>
        <v/>
      </c>
      <c r="K1686">
        <f>F1686-MIN(F1686,G1686)-I1686</f>
        <v/>
      </c>
    </row>
    <row r="1687">
      <c r="A1687" s="21">
        <f>IF(Rechner!$E$4&lt;&gt;"ok","",IF(Rechner!$E$5+1685&lt;=Rechner!$B$6,Rechner!$E$5+1685,""))</f>
        <v/>
      </c>
      <c r="B1687">
        <f>IF(A1687="","",LOOKUP(A1687,Basiszins!$A$5:$A$18,Basiszins!$B$5:$B$18))</f>
        <v/>
      </c>
      <c r="C1687">
        <f>IF(A1687="","",B1687+Rechner!$E$7)</f>
        <v/>
      </c>
      <c r="D1687">
        <f>J1686</f>
        <v/>
      </c>
      <c r="E1687">
        <f>IF(A1687="",0,D1687*C1687/100/(DATE(YEAR(A1687)+1,1,1)-DATE(YEAR(A1687),1,1)))</f>
        <v/>
      </c>
      <c r="F1687">
        <f>IF(A1687="",0,SUMIF(Rechner!$A$12:$A$21,A1687,Rechner!$B$12:$B$21))</f>
        <v/>
      </c>
      <c r="G1687">
        <f>H1686+E1687</f>
        <v/>
      </c>
      <c r="H1687">
        <f>G1687-MIN(F1687,G1687)</f>
        <v/>
      </c>
      <c r="I1687">
        <f>MIN(F1687-MIN(F1687,G1687),D1687)</f>
        <v/>
      </c>
      <c r="J1687">
        <f>D1687-I1687</f>
        <v/>
      </c>
      <c r="K1687">
        <f>F1687-MIN(F1687,G1687)-I1687</f>
        <v/>
      </c>
    </row>
    <row r="1688">
      <c r="A1688" s="21">
        <f>IF(Rechner!$E$4&lt;&gt;"ok","",IF(Rechner!$E$5+1686&lt;=Rechner!$B$6,Rechner!$E$5+1686,""))</f>
        <v/>
      </c>
      <c r="B1688">
        <f>IF(A1688="","",LOOKUP(A1688,Basiszins!$A$5:$A$18,Basiszins!$B$5:$B$18))</f>
        <v/>
      </c>
      <c r="C1688">
        <f>IF(A1688="","",B1688+Rechner!$E$7)</f>
        <v/>
      </c>
      <c r="D1688">
        <f>J1687</f>
        <v/>
      </c>
      <c r="E1688">
        <f>IF(A1688="",0,D1688*C1688/100/(DATE(YEAR(A1688)+1,1,1)-DATE(YEAR(A1688),1,1)))</f>
        <v/>
      </c>
      <c r="F1688">
        <f>IF(A1688="",0,SUMIF(Rechner!$A$12:$A$21,A1688,Rechner!$B$12:$B$21))</f>
        <v/>
      </c>
      <c r="G1688">
        <f>H1687+E1688</f>
        <v/>
      </c>
      <c r="H1688">
        <f>G1688-MIN(F1688,G1688)</f>
        <v/>
      </c>
      <c r="I1688">
        <f>MIN(F1688-MIN(F1688,G1688),D1688)</f>
        <v/>
      </c>
      <c r="J1688">
        <f>D1688-I1688</f>
        <v/>
      </c>
      <c r="K1688">
        <f>F1688-MIN(F1688,G1688)-I1688</f>
        <v/>
      </c>
    </row>
    <row r="1689">
      <c r="A1689" s="21">
        <f>IF(Rechner!$E$4&lt;&gt;"ok","",IF(Rechner!$E$5+1687&lt;=Rechner!$B$6,Rechner!$E$5+1687,""))</f>
        <v/>
      </c>
      <c r="B1689">
        <f>IF(A1689="","",LOOKUP(A1689,Basiszins!$A$5:$A$18,Basiszins!$B$5:$B$18))</f>
        <v/>
      </c>
      <c r="C1689">
        <f>IF(A1689="","",B1689+Rechner!$E$7)</f>
        <v/>
      </c>
      <c r="D1689">
        <f>J1688</f>
        <v/>
      </c>
      <c r="E1689">
        <f>IF(A1689="",0,D1689*C1689/100/(DATE(YEAR(A1689)+1,1,1)-DATE(YEAR(A1689),1,1)))</f>
        <v/>
      </c>
      <c r="F1689">
        <f>IF(A1689="",0,SUMIF(Rechner!$A$12:$A$21,A1689,Rechner!$B$12:$B$21))</f>
        <v/>
      </c>
      <c r="G1689">
        <f>H1688+E1689</f>
        <v/>
      </c>
      <c r="H1689">
        <f>G1689-MIN(F1689,G1689)</f>
        <v/>
      </c>
      <c r="I1689">
        <f>MIN(F1689-MIN(F1689,G1689),D1689)</f>
        <v/>
      </c>
      <c r="J1689">
        <f>D1689-I1689</f>
        <v/>
      </c>
      <c r="K1689">
        <f>F1689-MIN(F1689,G1689)-I1689</f>
        <v/>
      </c>
    </row>
    <row r="1690">
      <c r="A1690" s="21">
        <f>IF(Rechner!$E$4&lt;&gt;"ok","",IF(Rechner!$E$5+1688&lt;=Rechner!$B$6,Rechner!$E$5+1688,""))</f>
        <v/>
      </c>
      <c r="B1690">
        <f>IF(A1690="","",LOOKUP(A1690,Basiszins!$A$5:$A$18,Basiszins!$B$5:$B$18))</f>
        <v/>
      </c>
      <c r="C1690">
        <f>IF(A1690="","",B1690+Rechner!$E$7)</f>
        <v/>
      </c>
      <c r="D1690">
        <f>J1689</f>
        <v/>
      </c>
      <c r="E1690">
        <f>IF(A1690="",0,D1690*C1690/100/(DATE(YEAR(A1690)+1,1,1)-DATE(YEAR(A1690),1,1)))</f>
        <v/>
      </c>
      <c r="F1690">
        <f>IF(A1690="",0,SUMIF(Rechner!$A$12:$A$21,A1690,Rechner!$B$12:$B$21))</f>
        <v/>
      </c>
      <c r="G1690">
        <f>H1689+E1690</f>
        <v/>
      </c>
      <c r="H1690">
        <f>G1690-MIN(F1690,G1690)</f>
        <v/>
      </c>
      <c r="I1690">
        <f>MIN(F1690-MIN(F1690,G1690),D1690)</f>
        <v/>
      </c>
      <c r="J1690">
        <f>D1690-I1690</f>
        <v/>
      </c>
      <c r="K1690">
        <f>F1690-MIN(F1690,G1690)-I1690</f>
        <v/>
      </c>
    </row>
    <row r="1691">
      <c r="A1691" s="21">
        <f>IF(Rechner!$E$4&lt;&gt;"ok","",IF(Rechner!$E$5+1689&lt;=Rechner!$B$6,Rechner!$E$5+1689,""))</f>
        <v/>
      </c>
      <c r="B1691">
        <f>IF(A1691="","",LOOKUP(A1691,Basiszins!$A$5:$A$18,Basiszins!$B$5:$B$18))</f>
        <v/>
      </c>
      <c r="C1691">
        <f>IF(A1691="","",B1691+Rechner!$E$7)</f>
        <v/>
      </c>
      <c r="D1691">
        <f>J1690</f>
        <v/>
      </c>
      <c r="E1691">
        <f>IF(A1691="",0,D1691*C1691/100/(DATE(YEAR(A1691)+1,1,1)-DATE(YEAR(A1691),1,1)))</f>
        <v/>
      </c>
      <c r="F1691">
        <f>IF(A1691="",0,SUMIF(Rechner!$A$12:$A$21,A1691,Rechner!$B$12:$B$21))</f>
        <v/>
      </c>
      <c r="G1691">
        <f>H1690+E1691</f>
        <v/>
      </c>
      <c r="H1691">
        <f>G1691-MIN(F1691,G1691)</f>
        <v/>
      </c>
      <c r="I1691">
        <f>MIN(F1691-MIN(F1691,G1691),D1691)</f>
        <v/>
      </c>
      <c r="J1691">
        <f>D1691-I1691</f>
        <v/>
      </c>
      <c r="K1691">
        <f>F1691-MIN(F1691,G1691)-I1691</f>
        <v/>
      </c>
    </row>
    <row r="1692">
      <c r="A1692" s="21">
        <f>IF(Rechner!$E$4&lt;&gt;"ok","",IF(Rechner!$E$5+1690&lt;=Rechner!$B$6,Rechner!$E$5+1690,""))</f>
        <v/>
      </c>
      <c r="B1692">
        <f>IF(A1692="","",LOOKUP(A1692,Basiszins!$A$5:$A$18,Basiszins!$B$5:$B$18))</f>
        <v/>
      </c>
      <c r="C1692">
        <f>IF(A1692="","",B1692+Rechner!$E$7)</f>
        <v/>
      </c>
      <c r="D1692">
        <f>J1691</f>
        <v/>
      </c>
      <c r="E1692">
        <f>IF(A1692="",0,D1692*C1692/100/(DATE(YEAR(A1692)+1,1,1)-DATE(YEAR(A1692),1,1)))</f>
        <v/>
      </c>
      <c r="F1692">
        <f>IF(A1692="",0,SUMIF(Rechner!$A$12:$A$21,A1692,Rechner!$B$12:$B$21))</f>
        <v/>
      </c>
      <c r="G1692">
        <f>H1691+E1692</f>
        <v/>
      </c>
      <c r="H1692">
        <f>G1692-MIN(F1692,G1692)</f>
        <v/>
      </c>
      <c r="I1692">
        <f>MIN(F1692-MIN(F1692,G1692),D1692)</f>
        <v/>
      </c>
      <c r="J1692">
        <f>D1692-I1692</f>
        <v/>
      </c>
      <c r="K1692">
        <f>F1692-MIN(F1692,G1692)-I1692</f>
        <v/>
      </c>
    </row>
    <row r="1693">
      <c r="A1693" s="21">
        <f>IF(Rechner!$E$4&lt;&gt;"ok","",IF(Rechner!$E$5+1691&lt;=Rechner!$B$6,Rechner!$E$5+1691,""))</f>
        <v/>
      </c>
      <c r="B1693">
        <f>IF(A1693="","",LOOKUP(A1693,Basiszins!$A$5:$A$18,Basiszins!$B$5:$B$18))</f>
        <v/>
      </c>
      <c r="C1693">
        <f>IF(A1693="","",B1693+Rechner!$E$7)</f>
        <v/>
      </c>
      <c r="D1693">
        <f>J1692</f>
        <v/>
      </c>
      <c r="E1693">
        <f>IF(A1693="",0,D1693*C1693/100/(DATE(YEAR(A1693)+1,1,1)-DATE(YEAR(A1693),1,1)))</f>
        <v/>
      </c>
      <c r="F1693">
        <f>IF(A1693="",0,SUMIF(Rechner!$A$12:$A$21,A1693,Rechner!$B$12:$B$21))</f>
        <v/>
      </c>
      <c r="G1693">
        <f>H1692+E1693</f>
        <v/>
      </c>
      <c r="H1693">
        <f>G1693-MIN(F1693,G1693)</f>
        <v/>
      </c>
      <c r="I1693">
        <f>MIN(F1693-MIN(F1693,G1693),D1693)</f>
        <v/>
      </c>
      <c r="J1693">
        <f>D1693-I1693</f>
        <v/>
      </c>
      <c r="K1693">
        <f>F1693-MIN(F1693,G1693)-I1693</f>
        <v/>
      </c>
    </row>
    <row r="1694">
      <c r="A1694" s="21">
        <f>IF(Rechner!$E$4&lt;&gt;"ok","",IF(Rechner!$E$5+1692&lt;=Rechner!$B$6,Rechner!$E$5+1692,""))</f>
        <v/>
      </c>
      <c r="B1694">
        <f>IF(A1694="","",LOOKUP(A1694,Basiszins!$A$5:$A$18,Basiszins!$B$5:$B$18))</f>
        <v/>
      </c>
      <c r="C1694">
        <f>IF(A1694="","",B1694+Rechner!$E$7)</f>
        <v/>
      </c>
      <c r="D1694">
        <f>J1693</f>
        <v/>
      </c>
      <c r="E1694">
        <f>IF(A1694="",0,D1694*C1694/100/(DATE(YEAR(A1694)+1,1,1)-DATE(YEAR(A1694),1,1)))</f>
        <v/>
      </c>
      <c r="F1694">
        <f>IF(A1694="",0,SUMIF(Rechner!$A$12:$A$21,A1694,Rechner!$B$12:$B$21))</f>
        <v/>
      </c>
      <c r="G1694">
        <f>H1693+E1694</f>
        <v/>
      </c>
      <c r="H1694">
        <f>G1694-MIN(F1694,G1694)</f>
        <v/>
      </c>
      <c r="I1694">
        <f>MIN(F1694-MIN(F1694,G1694),D1694)</f>
        <v/>
      </c>
      <c r="J1694">
        <f>D1694-I1694</f>
        <v/>
      </c>
      <c r="K1694">
        <f>F1694-MIN(F1694,G1694)-I1694</f>
        <v/>
      </c>
    </row>
    <row r="1695">
      <c r="A1695" s="21">
        <f>IF(Rechner!$E$4&lt;&gt;"ok","",IF(Rechner!$E$5+1693&lt;=Rechner!$B$6,Rechner!$E$5+1693,""))</f>
        <v/>
      </c>
      <c r="B1695">
        <f>IF(A1695="","",LOOKUP(A1695,Basiszins!$A$5:$A$18,Basiszins!$B$5:$B$18))</f>
        <v/>
      </c>
      <c r="C1695">
        <f>IF(A1695="","",B1695+Rechner!$E$7)</f>
        <v/>
      </c>
      <c r="D1695">
        <f>J1694</f>
        <v/>
      </c>
      <c r="E1695">
        <f>IF(A1695="",0,D1695*C1695/100/(DATE(YEAR(A1695)+1,1,1)-DATE(YEAR(A1695),1,1)))</f>
        <v/>
      </c>
      <c r="F1695">
        <f>IF(A1695="",0,SUMIF(Rechner!$A$12:$A$21,A1695,Rechner!$B$12:$B$21))</f>
        <v/>
      </c>
      <c r="G1695">
        <f>H1694+E1695</f>
        <v/>
      </c>
      <c r="H1695">
        <f>G1695-MIN(F1695,G1695)</f>
        <v/>
      </c>
      <c r="I1695">
        <f>MIN(F1695-MIN(F1695,G1695),D1695)</f>
        <v/>
      </c>
      <c r="J1695">
        <f>D1695-I1695</f>
        <v/>
      </c>
      <c r="K1695">
        <f>F1695-MIN(F1695,G1695)-I1695</f>
        <v/>
      </c>
    </row>
    <row r="1696">
      <c r="A1696" s="21">
        <f>IF(Rechner!$E$4&lt;&gt;"ok","",IF(Rechner!$E$5+1694&lt;=Rechner!$B$6,Rechner!$E$5+1694,""))</f>
        <v/>
      </c>
      <c r="B1696">
        <f>IF(A1696="","",LOOKUP(A1696,Basiszins!$A$5:$A$18,Basiszins!$B$5:$B$18))</f>
        <v/>
      </c>
      <c r="C1696">
        <f>IF(A1696="","",B1696+Rechner!$E$7)</f>
        <v/>
      </c>
      <c r="D1696">
        <f>J1695</f>
        <v/>
      </c>
      <c r="E1696">
        <f>IF(A1696="",0,D1696*C1696/100/(DATE(YEAR(A1696)+1,1,1)-DATE(YEAR(A1696),1,1)))</f>
        <v/>
      </c>
      <c r="F1696">
        <f>IF(A1696="",0,SUMIF(Rechner!$A$12:$A$21,A1696,Rechner!$B$12:$B$21))</f>
        <v/>
      </c>
      <c r="G1696">
        <f>H1695+E1696</f>
        <v/>
      </c>
      <c r="H1696">
        <f>G1696-MIN(F1696,G1696)</f>
        <v/>
      </c>
      <c r="I1696">
        <f>MIN(F1696-MIN(F1696,G1696),D1696)</f>
        <v/>
      </c>
      <c r="J1696">
        <f>D1696-I1696</f>
        <v/>
      </c>
      <c r="K1696">
        <f>F1696-MIN(F1696,G1696)-I1696</f>
        <v/>
      </c>
    </row>
    <row r="1697">
      <c r="A1697" s="21">
        <f>IF(Rechner!$E$4&lt;&gt;"ok","",IF(Rechner!$E$5+1695&lt;=Rechner!$B$6,Rechner!$E$5+1695,""))</f>
        <v/>
      </c>
      <c r="B1697">
        <f>IF(A1697="","",LOOKUP(A1697,Basiszins!$A$5:$A$18,Basiszins!$B$5:$B$18))</f>
        <v/>
      </c>
      <c r="C1697">
        <f>IF(A1697="","",B1697+Rechner!$E$7)</f>
        <v/>
      </c>
      <c r="D1697">
        <f>J1696</f>
        <v/>
      </c>
      <c r="E1697">
        <f>IF(A1697="",0,D1697*C1697/100/(DATE(YEAR(A1697)+1,1,1)-DATE(YEAR(A1697),1,1)))</f>
        <v/>
      </c>
      <c r="F1697">
        <f>IF(A1697="",0,SUMIF(Rechner!$A$12:$A$21,A1697,Rechner!$B$12:$B$21))</f>
        <v/>
      </c>
      <c r="G1697">
        <f>H1696+E1697</f>
        <v/>
      </c>
      <c r="H1697">
        <f>G1697-MIN(F1697,G1697)</f>
        <v/>
      </c>
      <c r="I1697">
        <f>MIN(F1697-MIN(F1697,G1697),D1697)</f>
        <v/>
      </c>
      <c r="J1697">
        <f>D1697-I1697</f>
        <v/>
      </c>
      <c r="K1697">
        <f>F1697-MIN(F1697,G1697)-I1697</f>
        <v/>
      </c>
    </row>
    <row r="1698">
      <c r="A1698" s="21">
        <f>IF(Rechner!$E$4&lt;&gt;"ok","",IF(Rechner!$E$5+1696&lt;=Rechner!$B$6,Rechner!$E$5+1696,""))</f>
        <v/>
      </c>
      <c r="B1698">
        <f>IF(A1698="","",LOOKUP(A1698,Basiszins!$A$5:$A$18,Basiszins!$B$5:$B$18))</f>
        <v/>
      </c>
      <c r="C1698">
        <f>IF(A1698="","",B1698+Rechner!$E$7)</f>
        <v/>
      </c>
      <c r="D1698">
        <f>J1697</f>
        <v/>
      </c>
      <c r="E1698">
        <f>IF(A1698="",0,D1698*C1698/100/(DATE(YEAR(A1698)+1,1,1)-DATE(YEAR(A1698),1,1)))</f>
        <v/>
      </c>
      <c r="F1698">
        <f>IF(A1698="",0,SUMIF(Rechner!$A$12:$A$21,A1698,Rechner!$B$12:$B$21))</f>
        <v/>
      </c>
      <c r="G1698">
        <f>H1697+E1698</f>
        <v/>
      </c>
      <c r="H1698">
        <f>G1698-MIN(F1698,G1698)</f>
        <v/>
      </c>
      <c r="I1698">
        <f>MIN(F1698-MIN(F1698,G1698),D1698)</f>
        <v/>
      </c>
      <c r="J1698">
        <f>D1698-I1698</f>
        <v/>
      </c>
      <c r="K1698">
        <f>F1698-MIN(F1698,G1698)-I1698</f>
        <v/>
      </c>
    </row>
    <row r="1699">
      <c r="A1699" s="21">
        <f>IF(Rechner!$E$4&lt;&gt;"ok","",IF(Rechner!$E$5+1697&lt;=Rechner!$B$6,Rechner!$E$5+1697,""))</f>
        <v/>
      </c>
      <c r="B1699">
        <f>IF(A1699="","",LOOKUP(A1699,Basiszins!$A$5:$A$18,Basiszins!$B$5:$B$18))</f>
        <v/>
      </c>
      <c r="C1699">
        <f>IF(A1699="","",B1699+Rechner!$E$7)</f>
        <v/>
      </c>
      <c r="D1699">
        <f>J1698</f>
        <v/>
      </c>
      <c r="E1699">
        <f>IF(A1699="",0,D1699*C1699/100/(DATE(YEAR(A1699)+1,1,1)-DATE(YEAR(A1699),1,1)))</f>
        <v/>
      </c>
      <c r="F1699">
        <f>IF(A1699="",0,SUMIF(Rechner!$A$12:$A$21,A1699,Rechner!$B$12:$B$21))</f>
        <v/>
      </c>
      <c r="G1699">
        <f>H1698+E1699</f>
        <v/>
      </c>
      <c r="H1699">
        <f>G1699-MIN(F1699,G1699)</f>
        <v/>
      </c>
      <c r="I1699">
        <f>MIN(F1699-MIN(F1699,G1699),D1699)</f>
        <v/>
      </c>
      <c r="J1699">
        <f>D1699-I1699</f>
        <v/>
      </c>
      <c r="K1699">
        <f>F1699-MIN(F1699,G1699)-I1699</f>
        <v/>
      </c>
    </row>
    <row r="1700">
      <c r="A1700" s="21">
        <f>IF(Rechner!$E$4&lt;&gt;"ok","",IF(Rechner!$E$5+1698&lt;=Rechner!$B$6,Rechner!$E$5+1698,""))</f>
        <v/>
      </c>
      <c r="B1700">
        <f>IF(A1700="","",LOOKUP(A1700,Basiszins!$A$5:$A$18,Basiszins!$B$5:$B$18))</f>
        <v/>
      </c>
      <c r="C1700">
        <f>IF(A1700="","",B1700+Rechner!$E$7)</f>
        <v/>
      </c>
      <c r="D1700">
        <f>J1699</f>
        <v/>
      </c>
      <c r="E1700">
        <f>IF(A1700="",0,D1700*C1700/100/(DATE(YEAR(A1700)+1,1,1)-DATE(YEAR(A1700),1,1)))</f>
        <v/>
      </c>
      <c r="F1700">
        <f>IF(A1700="",0,SUMIF(Rechner!$A$12:$A$21,A1700,Rechner!$B$12:$B$21))</f>
        <v/>
      </c>
      <c r="G1700">
        <f>H1699+E1700</f>
        <v/>
      </c>
      <c r="H1700">
        <f>G1700-MIN(F1700,G1700)</f>
        <v/>
      </c>
      <c r="I1700">
        <f>MIN(F1700-MIN(F1700,G1700),D1700)</f>
        <v/>
      </c>
      <c r="J1700">
        <f>D1700-I1700</f>
        <v/>
      </c>
      <c r="K1700">
        <f>F1700-MIN(F1700,G1700)-I1700</f>
        <v/>
      </c>
    </row>
    <row r="1701">
      <c r="A1701" s="21">
        <f>IF(Rechner!$E$4&lt;&gt;"ok","",IF(Rechner!$E$5+1699&lt;=Rechner!$B$6,Rechner!$E$5+1699,""))</f>
        <v/>
      </c>
      <c r="B1701">
        <f>IF(A1701="","",LOOKUP(A1701,Basiszins!$A$5:$A$18,Basiszins!$B$5:$B$18))</f>
        <v/>
      </c>
      <c r="C1701">
        <f>IF(A1701="","",B1701+Rechner!$E$7)</f>
        <v/>
      </c>
      <c r="D1701">
        <f>J1700</f>
        <v/>
      </c>
      <c r="E1701">
        <f>IF(A1701="",0,D1701*C1701/100/(DATE(YEAR(A1701)+1,1,1)-DATE(YEAR(A1701),1,1)))</f>
        <v/>
      </c>
      <c r="F1701">
        <f>IF(A1701="",0,SUMIF(Rechner!$A$12:$A$21,A1701,Rechner!$B$12:$B$21))</f>
        <v/>
      </c>
      <c r="G1701">
        <f>H1700+E1701</f>
        <v/>
      </c>
      <c r="H1701">
        <f>G1701-MIN(F1701,G1701)</f>
        <v/>
      </c>
      <c r="I1701">
        <f>MIN(F1701-MIN(F1701,G1701),D1701)</f>
        <v/>
      </c>
      <c r="J1701">
        <f>D1701-I1701</f>
        <v/>
      </c>
      <c r="K1701">
        <f>F1701-MIN(F1701,G1701)-I1701</f>
        <v/>
      </c>
    </row>
    <row r="1702">
      <c r="A1702" s="21">
        <f>IF(Rechner!$E$4&lt;&gt;"ok","",IF(Rechner!$E$5+1700&lt;=Rechner!$B$6,Rechner!$E$5+1700,""))</f>
        <v/>
      </c>
      <c r="B1702">
        <f>IF(A1702="","",LOOKUP(A1702,Basiszins!$A$5:$A$18,Basiszins!$B$5:$B$18))</f>
        <v/>
      </c>
      <c r="C1702">
        <f>IF(A1702="","",B1702+Rechner!$E$7)</f>
        <v/>
      </c>
      <c r="D1702">
        <f>J1701</f>
        <v/>
      </c>
      <c r="E1702">
        <f>IF(A1702="",0,D1702*C1702/100/(DATE(YEAR(A1702)+1,1,1)-DATE(YEAR(A1702),1,1)))</f>
        <v/>
      </c>
      <c r="F1702">
        <f>IF(A1702="",0,SUMIF(Rechner!$A$12:$A$21,A1702,Rechner!$B$12:$B$21))</f>
        <v/>
      </c>
      <c r="G1702">
        <f>H1701+E1702</f>
        <v/>
      </c>
      <c r="H1702">
        <f>G1702-MIN(F1702,G1702)</f>
        <v/>
      </c>
      <c r="I1702">
        <f>MIN(F1702-MIN(F1702,G1702),D1702)</f>
        <v/>
      </c>
      <c r="J1702">
        <f>D1702-I1702</f>
        <v/>
      </c>
      <c r="K1702">
        <f>F1702-MIN(F1702,G1702)-I1702</f>
        <v/>
      </c>
    </row>
    <row r="1703">
      <c r="A1703" s="21">
        <f>IF(Rechner!$E$4&lt;&gt;"ok","",IF(Rechner!$E$5+1701&lt;=Rechner!$B$6,Rechner!$E$5+1701,""))</f>
        <v/>
      </c>
      <c r="B1703">
        <f>IF(A1703="","",LOOKUP(A1703,Basiszins!$A$5:$A$18,Basiszins!$B$5:$B$18))</f>
        <v/>
      </c>
      <c r="C1703">
        <f>IF(A1703="","",B1703+Rechner!$E$7)</f>
        <v/>
      </c>
      <c r="D1703">
        <f>J1702</f>
        <v/>
      </c>
      <c r="E1703">
        <f>IF(A1703="",0,D1703*C1703/100/(DATE(YEAR(A1703)+1,1,1)-DATE(YEAR(A1703),1,1)))</f>
        <v/>
      </c>
      <c r="F1703">
        <f>IF(A1703="",0,SUMIF(Rechner!$A$12:$A$21,A1703,Rechner!$B$12:$B$21))</f>
        <v/>
      </c>
      <c r="G1703">
        <f>H1702+E1703</f>
        <v/>
      </c>
      <c r="H1703">
        <f>G1703-MIN(F1703,G1703)</f>
        <v/>
      </c>
      <c r="I1703">
        <f>MIN(F1703-MIN(F1703,G1703),D1703)</f>
        <v/>
      </c>
      <c r="J1703">
        <f>D1703-I1703</f>
        <v/>
      </c>
      <c r="K1703">
        <f>F1703-MIN(F1703,G1703)-I1703</f>
        <v/>
      </c>
    </row>
    <row r="1704">
      <c r="A1704" s="21">
        <f>IF(Rechner!$E$4&lt;&gt;"ok","",IF(Rechner!$E$5+1702&lt;=Rechner!$B$6,Rechner!$E$5+1702,""))</f>
        <v/>
      </c>
      <c r="B1704">
        <f>IF(A1704="","",LOOKUP(A1704,Basiszins!$A$5:$A$18,Basiszins!$B$5:$B$18))</f>
        <v/>
      </c>
      <c r="C1704">
        <f>IF(A1704="","",B1704+Rechner!$E$7)</f>
        <v/>
      </c>
      <c r="D1704">
        <f>J1703</f>
        <v/>
      </c>
      <c r="E1704">
        <f>IF(A1704="",0,D1704*C1704/100/(DATE(YEAR(A1704)+1,1,1)-DATE(YEAR(A1704),1,1)))</f>
        <v/>
      </c>
      <c r="F1704">
        <f>IF(A1704="",0,SUMIF(Rechner!$A$12:$A$21,A1704,Rechner!$B$12:$B$21))</f>
        <v/>
      </c>
      <c r="G1704">
        <f>H1703+E1704</f>
        <v/>
      </c>
      <c r="H1704">
        <f>G1704-MIN(F1704,G1704)</f>
        <v/>
      </c>
      <c r="I1704">
        <f>MIN(F1704-MIN(F1704,G1704),D1704)</f>
        <v/>
      </c>
      <c r="J1704">
        <f>D1704-I1704</f>
        <v/>
      </c>
      <c r="K1704">
        <f>F1704-MIN(F1704,G1704)-I1704</f>
        <v/>
      </c>
    </row>
    <row r="1705">
      <c r="A1705" s="21">
        <f>IF(Rechner!$E$4&lt;&gt;"ok","",IF(Rechner!$E$5+1703&lt;=Rechner!$B$6,Rechner!$E$5+1703,""))</f>
        <v/>
      </c>
      <c r="B1705">
        <f>IF(A1705="","",LOOKUP(A1705,Basiszins!$A$5:$A$18,Basiszins!$B$5:$B$18))</f>
        <v/>
      </c>
      <c r="C1705">
        <f>IF(A1705="","",B1705+Rechner!$E$7)</f>
        <v/>
      </c>
      <c r="D1705">
        <f>J1704</f>
        <v/>
      </c>
      <c r="E1705">
        <f>IF(A1705="",0,D1705*C1705/100/(DATE(YEAR(A1705)+1,1,1)-DATE(YEAR(A1705),1,1)))</f>
        <v/>
      </c>
      <c r="F1705">
        <f>IF(A1705="",0,SUMIF(Rechner!$A$12:$A$21,A1705,Rechner!$B$12:$B$21))</f>
        <v/>
      </c>
      <c r="G1705">
        <f>H1704+E1705</f>
        <v/>
      </c>
      <c r="H1705">
        <f>G1705-MIN(F1705,G1705)</f>
        <v/>
      </c>
      <c r="I1705">
        <f>MIN(F1705-MIN(F1705,G1705),D1705)</f>
        <v/>
      </c>
      <c r="J1705">
        <f>D1705-I1705</f>
        <v/>
      </c>
      <c r="K1705">
        <f>F1705-MIN(F1705,G1705)-I1705</f>
        <v/>
      </c>
    </row>
    <row r="1706">
      <c r="A1706" s="21">
        <f>IF(Rechner!$E$4&lt;&gt;"ok","",IF(Rechner!$E$5+1704&lt;=Rechner!$B$6,Rechner!$E$5+1704,""))</f>
        <v/>
      </c>
      <c r="B1706">
        <f>IF(A1706="","",LOOKUP(A1706,Basiszins!$A$5:$A$18,Basiszins!$B$5:$B$18))</f>
        <v/>
      </c>
      <c r="C1706">
        <f>IF(A1706="","",B1706+Rechner!$E$7)</f>
        <v/>
      </c>
      <c r="D1706">
        <f>J1705</f>
        <v/>
      </c>
      <c r="E1706">
        <f>IF(A1706="",0,D1706*C1706/100/(DATE(YEAR(A1706)+1,1,1)-DATE(YEAR(A1706),1,1)))</f>
        <v/>
      </c>
      <c r="F1706">
        <f>IF(A1706="",0,SUMIF(Rechner!$A$12:$A$21,A1706,Rechner!$B$12:$B$21))</f>
        <v/>
      </c>
      <c r="G1706">
        <f>H1705+E1706</f>
        <v/>
      </c>
      <c r="H1706">
        <f>G1706-MIN(F1706,G1706)</f>
        <v/>
      </c>
      <c r="I1706">
        <f>MIN(F1706-MIN(F1706,G1706),D1706)</f>
        <v/>
      </c>
      <c r="J1706">
        <f>D1706-I1706</f>
        <v/>
      </c>
      <c r="K1706">
        <f>F1706-MIN(F1706,G1706)-I1706</f>
        <v/>
      </c>
    </row>
    <row r="1707">
      <c r="A1707" s="21">
        <f>IF(Rechner!$E$4&lt;&gt;"ok","",IF(Rechner!$E$5+1705&lt;=Rechner!$B$6,Rechner!$E$5+1705,""))</f>
        <v/>
      </c>
      <c r="B1707">
        <f>IF(A1707="","",LOOKUP(A1707,Basiszins!$A$5:$A$18,Basiszins!$B$5:$B$18))</f>
        <v/>
      </c>
      <c r="C1707">
        <f>IF(A1707="","",B1707+Rechner!$E$7)</f>
        <v/>
      </c>
      <c r="D1707">
        <f>J1706</f>
        <v/>
      </c>
      <c r="E1707">
        <f>IF(A1707="",0,D1707*C1707/100/(DATE(YEAR(A1707)+1,1,1)-DATE(YEAR(A1707),1,1)))</f>
        <v/>
      </c>
      <c r="F1707">
        <f>IF(A1707="",0,SUMIF(Rechner!$A$12:$A$21,A1707,Rechner!$B$12:$B$21))</f>
        <v/>
      </c>
      <c r="G1707">
        <f>H1706+E1707</f>
        <v/>
      </c>
      <c r="H1707">
        <f>G1707-MIN(F1707,G1707)</f>
        <v/>
      </c>
      <c r="I1707">
        <f>MIN(F1707-MIN(F1707,G1707),D1707)</f>
        <v/>
      </c>
      <c r="J1707">
        <f>D1707-I1707</f>
        <v/>
      </c>
      <c r="K1707">
        <f>F1707-MIN(F1707,G1707)-I1707</f>
        <v/>
      </c>
    </row>
    <row r="1708">
      <c r="A1708" s="21">
        <f>IF(Rechner!$E$4&lt;&gt;"ok","",IF(Rechner!$E$5+1706&lt;=Rechner!$B$6,Rechner!$E$5+1706,""))</f>
        <v/>
      </c>
      <c r="B1708">
        <f>IF(A1708="","",LOOKUP(A1708,Basiszins!$A$5:$A$18,Basiszins!$B$5:$B$18))</f>
        <v/>
      </c>
      <c r="C1708">
        <f>IF(A1708="","",B1708+Rechner!$E$7)</f>
        <v/>
      </c>
      <c r="D1708">
        <f>J1707</f>
        <v/>
      </c>
      <c r="E1708">
        <f>IF(A1708="",0,D1708*C1708/100/(DATE(YEAR(A1708)+1,1,1)-DATE(YEAR(A1708),1,1)))</f>
        <v/>
      </c>
      <c r="F1708">
        <f>IF(A1708="",0,SUMIF(Rechner!$A$12:$A$21,A1708,Rechner!$B$12:$B$21))</f>
        <v/>
      </c>
      <c r="G1708">
        <f>H1707+E1708</f>
        <v/>
      </c>
      <c r="H1708">
        <f>G1708-MIN(F1708,G1708)</f>
        <v/>
      </c>
      <c r="I1708">
        <f>MIN(F1708-MIN(F1708,G1708),D1708)</f>
        <v/>
      </c>
      <c r="J1708">
        <f>D1708-I1708</f>
        <v/>
      </c>
      <c r="K1708">
        <f>F1708-MIN(F1708,G1708)-I1708</f>
        <v/>
      </c>
    </row>
    <row r="1709">
      <c r="A1709" s="21">
        <f>IF(Rechner!$E$4&lt;&gt;"ok","",IF(Rechner!$E$5+1707&lt;=Rechner!$B$6,Rechner!$E$5+1707,""))</f>
        <v/>
      </c>
      <c r="B1709">
        <f>IF(A1709="","",LOOKUP(A1709,Basiszins!$A$5:$A$18,Basiszins!$B$5:$B$18))</f>
        <v/>
      </c>
      <c r="C1709">
        <f>IF(A1709="","",B1709+Rechner!$E$7)</f>
        <v/>
      </c>
      <c r="D1709">
        <f>J1708</f>
        <v/>
      </c>
      <c r="E1709">
        <f>IF(A1709="",0,D1709*C1709/100/(DATE(YEAR(A1709)+1,1,1)-DATE(YEAR(A1709),1,1)))</f>
        <v/>
      </c>
      <c r="F1709">
        <f>IF(A1709="",0,SUMIF(Rechner!$A$12:$A$21,A1709,Rechner!$B$12:$B$21))</f>
        <v/>
      </c>
      <c r="G1709">
        <f>H1708+E1709</f>
        <v/>
      </c>
      <c r="H1709">
        <f>G1709-MIN(F1709,G1709)</f>
        <v/>
      </c>
      <c r="I1709">
        <f>MIN(F1709-MIN(F1709,G1709),D1709)</f>
        <v/>
      </c>
      <c r="J1709">
        <f>D1709-I1709</f>
        <v/>
      </c>
      <c r="K1709">
        <f>F1709-MIN(F1709,G1709)-I1709</f>
        <v/>
      </c>
    </row>
    <row r="1710">
      <c r="A1710" s="21">
        <f>IF(Rechner!$E$4&lt;&gt;"ok","",IF(Rechner!$E$5+1708&lt;=Rechner!$B$6,Rechner!$E$5+1708,""))</f>
        <v/>
      </c>
      <c r="B1710">
        <f>IF(A1710="","",LOOKUP(A1710,Basiszins!$A$5:$A$18,Basiszins!$B$5:$B$18))</f>
        <v/>
      </c>
      <c r="C1710">
        <f>IF(A1710="","",B1710+Rechner!$E$7)</f>
        <v/>
      </c>
      <c r="D1710">
        <f>J1709</f>
        <v/>
      </c>
      <c r="E1710">
        <f>IF(A1710="",0,D1710*C1710/100/(DATE(YEAR(A1710)+1,1,1)-DATE(YEAR(A1710),1,1)))</f>
        <v/>
      </c>
      <c r="F1710">
        <f>IF(A1710="",0,SUMIF(Rechner!$A$12:$A$21,A1710,Rechner!$B$12:$B$21))</f>
        <v/>
      </c>
      <c r="G1710">
        <f>H1709+E1710</f>
        <v/>
      </c>
      <c r="H1710">
        <f>G1710-MIN(F1710,G1710)</f>
        <v/>
      </c>
      <c r="I1710">
        <f>MIN(F1710-MIN(F1710,G1710),D1710)</f>
        <v/>
      </c>
      <c r="J1710">
        <f>D1710-I1710</f>
        <v/>
      </c>
      <c r="K1710">
        <f>F1710-MIN(F1710,G1710)-I1710</f>
        <v/>
      </c>
    </row>
    <row r="1711">
      <c r="A1711" s="21">
        <f>IF(Rechner!$E$4&lt;&gt;"ok","",IF(Rechner!$E$5+1709&lt;=Rechner!$B$6,Rechner!$E$5+1709,""))</f>
        <v/>
      </c>
      <c r="B1711">
        <f>IF(A1711="","",LOOKUP(A1711,Basiszins!$A$5:$A$18,Basiszins!$B$5:$B$18))</f>
        <v/>
      </c>
      <c r="C1711">
        <f>IF(A1711="","",B1711+Rechner!$E$7)</f>
        <v/>
      </c>
      <c r="D1711">
        <f>J1710</f>
        <v/>
      </c>
      <c r="E1711">
        <f>IF(A1711="",0,D1711*C1711/100/(DATE(YEAR(A1711)+1,1,1)-DATE(YEAR(A1711),1,1)))</f>
        <v/>
      </c>
      <c r="F1711">
        <f>IF(A1711="",0,SUMIF(Rechner!$A$12:$A$21,A1711,Rechner!$B$12:$B$21))</f>
        <v/>
      </c>
      <c r="G1711">
        <f>H1710+E1711</f>
        <v/>
      </c>
      <c r="H1711">
        <f>G1711-MIN(F1711,G1711)</f>
        <v/>
      </c>
      <c r="I1711">
        <f>MIN(F1711-MIN(F1711,G1711),D1711)</f>
        <v/>
      </c>
      <c r="J1711">
        <f>D1711-I1711</f>
        <v/>
      </c>
      <c r="K1711">
        <f>F1711-MIN(F1711,G1711)-I1711</f>
        <v/>
      </c>
    </row>
    <row r="1712">
      <c r="A1712" s="21">
        <f>IF(Rechner!$E$4&lt;&gt;"ok","",IF(Rechner!$E$5+1710&lt;=Rechner!$B$6,Rechner!$E$5+1710,""))</f>
        <v/>
      </c>
      <c r="B1712">
        <f>IF(A1712="","",LOOKUP(A1712,Basiszins!$A$5:$A$18,Basiszins!$B$5:$B$18))</f>
        <v/>
      </c>
      <c r="C1712">
        <f>IF(A1712="","",B1712+Rechner!$E$7)</f>
        <v/>
      </c>
      <c r="D1712">
        <f>J1711</f>
        <v/>
      </c>
      <c r="E1712">
        <f>IF(A1712="",0,D1712*C1712/100/(DATE(YEAR(A1712)+1,1,1)-DATE(YEAR(A1712),1,1)))</f>
        <v/>
      </c>
      <c r="F1712">
        <f>IF(A1712="",0,SUMIF(Rechner!$A$12:$A$21,A1712,Rechner!$B$12:$B$21))</f>
        <v/>
      </c>
      <c r="G1712">
        <f>H1711+E1712</f>
        <v/>
      </c>
      <c r="H1712">
        <f>G1712-MIN(F1712,G1712)</f>
        <v/>
      </c>
      <c r="I1712">
        <f>MIN(F1712-MIN(F1712,G1712),D1712)</f>
        <v/>
      </c>
      <c r="J1712">
        <f>D1712-I1712</f>
        <v/>
      </c>
      <c r="K1712">
        <f>F1712-MIN(F1712,G1712)-I1712</f>
        <v/>
      </c>
    </row>
    <row r="1713">
      <c r="A1713" s="21">
        <f>IF(Rechner!$E$4&lt;&gt;"ok","",IF(Rechner!$E$5+1711&lt;=Rechner!$B$6,Rechner!$E$5+1711,""))</f>
        <v/>
      </c>
      <c r="B1713">
        <f>IF(A1713="","",LOOKUP(A1713,Basiszins!$A$5:$A$18,Basiszins!$B$5:$B$18))</f>
        <v/>
      </c>
      <c r="C1713">
        <f>IF(A1713="","",B1713+Rechner!$E$7)</f>
        <v/>
      </c>
      <c r="D1713">
        <f>J1712</f>
        <v/>
      </c>
      <c r="E1713">
        <f>IF(A1713="",0,D1713*C1713/100/(DATE(YEAR(A1713)+1,1,1)-DATE(YEAR(A1713),1,1)))</f>
        <v/>
      </c>
      <c r="F1713">
        <f>IF(A1713="",0,SUMIF(Rechner!$A$12:$A$21,A1713,Rechner!$B$12:$B$21))</f>
        <v/>
      </c>
      <c r="G1713">
        <f>H1712+E1713</f>
        <v/>
      </c>
      <c r="H1713">
        <f>G1713-MIN(F1713,G1713)</f>
        <v/>
      </c>
      <c r="I1713">
        <f>MIN(F1713-MIN(F1713,G1713),D1713)</f>
        <v/>
      </c>
      <c r="J1713">
        <f>D1713-I1713</f>
        <v/>
      </c>
      <c r="K1713">
        <f>F1713-MIN(F1713,G1713)-I1713</f>
        <v/>
      </c>
    </row>
    <row r="1714">
      <c r="A1714" s="21">
        <f>IF(Rechner!$E$4&lt;&gt;"ok","",IF(Rechner!$E$5+1712&lt;=Rechner!$B$6,Rechner!$E$5+1712,""))</f>
        <v/>
      </c>
      <c r="B1714">
        <f>IF(A1714="","",LOOKUP(A1714,Basiszins!$A$5:$A$18,Basiszins!$B$5:$B$18))</f>
        <v/>
      </c>
      <c r="C1714">
        <f>IF(A1714="","",B1714+Rechner!$E$7)</f>
        <v/>
      </c>
      <c r="D1714">
        <f>J1713</f>
        <v/>
      </c>
      <c r="E1714">
        <f>IF(A1714="",0,D1714*C1714/100/(DATE(YEAR(A1714)+1,1,1)-DATE(YEAR(A1714),1,1)))</f>
        <v/>
      </c>
      <c r="F1714">
        <f>IF(A1714="",0,SUMIF(Rechner!$A$12:$A$21,A1714,Rechner!$B$12:$B$21))</f>
        <v/>
      </c>
      <c r="G1714">
        <f>H1713+E1714</f>
        <v/>
      </c>
      <c r="H1714">
        <f>G1714-MIN(F1714,G1714)</f>
        <v/>
      </c>
      <c r="I1714">
        <f>MIN(F1714-MIN(F1714,G1714),D1714)</f>
        <v/>
      </c>
      <c r="J1714">
        <f>D1714-I1714</f>
        <v/>
      </c>
      <c r="K1714">
        <f>F1714-MIN(F1714,G1714)-I1714</f>
        <v/>
      </c>
    </row>
    <row r="1715">
      <c r="A1715" s="21">
        <f>IF(Rechner!$E$4&lt;&gt;"ok","",IF(Rechner!$E$5+1713&lt;=Rechner!$B$6,Rechner!$E$5+1713,""))</f>
        <v/>
      </c>
      <c r="B1715">
        <f>IF(A1715="","",LOOKUP(A1715,Basiszins!$A$5:$A$18,Basiszins!$B$5:$B$18))</f>
        <v/>
      </c>
      <c r="C1715">
        <f>IF(A1715="","",B1715+Rechner!$E$7)</f>
        <v/>
      </c>
      <c r="D1715">
        <f>J1714</f>
        <v/>
      </c>
      <c r="E1715">
        <f>IF(A1715="",0,D1715*C1715/100/(DATE(YEAR(A1715)+1,1,1)-DATE(YEAR(A1715),1,1)))</f>
        <v/>
      </c>
      <c r="F1715">
        <f>IF(A1715="",0,SUMIF(Rechner!$A$12:$A$21,A1715,Rechner!$B$12:$B$21))</f>
        <v/>
      </c>
      <c r="G1715">
        <f>H1714+E1715</f>
        <v/>
      </c>
      <c r="H1715">
        <f>G1715-MIN(F1715,G1715)</f>
        <v/>
      </c>
      <c r="I1715">
        <f>MIN(F1715-MIN(F1715,G1715),D1715)</f>
        <v/>
      </c>
      <c r="J1715">
        <f>D1715-I1715</f>
        <v/>
      </c>
      <c r="K1715">
        <f>F1715-MIN(F1715,G1715)-I1715</f>
        <v/>
      </c>
    </row>
    <row r="1716">
      <c r="A1716" s="21">
        <f>IF(Rechner!$E$4&lt;&gt;"ok","",IF(Rechner!$E$5+1714&lt;=Rechner!$B$6,Rechner!$E$5+1714,""))</f>
        <v/>
      </c>
      <c r="B1716">
        <f>IF(A1716="","",LOOKUP(A1716,Basiszins!$A$5:$A$18,Basiszins!$B$5:$B$18))</f>
        <v/>
      </c>
      <c r="C1716">
        <f>IF(A1716="","",B1716+Rechner!$E$7)</f>
        <v/>
      </c>
      <c r="D1716">
        <f>J1715</f>
        <v/>
      </c>
      <c r="E1716">
        <f>IF(A1716="",0,D1716*C1716/100/(DATE(YEAR(A1716)+1,1,1)-DATE(YEAR(A1716),1,1)))</f>
        <v/>
      </c>
      <c r="F1716">
        <f>IF(A1716="",0,SUMIF(Rechner!$A$12:$A$21,A1716,Rechner!$B$12:$B$21))</f>
        <v/>
      </c>
      <c r="G1716">
        <f>H1715+E1716</f>
        <v/>
      </c>
      <c r="H1716">
        <f>G1716-MIN(F1716,G1716)</f>
        <v/>
      </c>
      <c r="I1716">
        <f>MIN(F1716-MIN(F1716,G1716),D1716)</f>
        <v/>
      </c>
      <c r="J1716">
        <f>D1716-I1716</f>
        <v/>
      </c>
      <c r="K1716">
        <f>F1716-MIN(F1716,G1716)-I1716</f>
        <v/>
      </c>
    </row>
    <row r="1717">
      <c r="A1717" s="21">
        <f>IF(Rechner!$E$4&lt;&gt;"ok","",IF(Rechner!$E$5+1715&lt;=Rechner!$B$6,Rechner!$E$5+1715,""))</f>
        <v/>
      </c>
      <c r="B1717">
        <f>IF(A1717="","",LOOKUP(A1717,Basiszins!$A$5:$A$18,Basiszins!$B$5:$B$18))</f>
        <v/>
      </c>
      <c r="C1717">
        <f>IF(A1717="","",B1717+Rechner!$E$7)</f>
        <v/>
      </c>
      <c r="D1717">
        <f>J1716</f>
        <v/>
      </c>
      <c r="E1717">
        <f>IF(A1717="",0,D1717*C1717/100/(DATE(YEAR(A1717)+1,1,1)-DATE(YEAR(A1717),1,1)))</f>
        <v/>
      </c>
      <c r="F1717">
        <f>IF(A1717="",0,SUMIF(Rechner!$A$12:$A$21,A1717,Rechner!$B$12:$B$21))</f>
        <v/>
      </c>
      <c r="G1717">
        <f>H1716+E1717</f>
        <v/>
      </c>
      <c r="H1717">
        <f>G1717-MIN(F1717,G1717)</f>
        <v/>
      </c>
      <c r="I1717">
        <f>MIN(F1717-MIN(F1717,G1717),D1717)</f>
        <v/>
      </c>
      <c r="J1717">
        <f>D1717-I1717</f>
        <v/>
      </c>
      <c r="K1717">
        <f>F1717-MIN(F1717,G1717)-I1717</f>
        <v/>
      </c>
    </row>
    <row r="1718">
      <c r="A1718" s="21">
        <f>IF(Rechner!$E$4&lt;&gt;"ok","",IF(Rechner!$E$5+1716&lt;=Rechner!$B$6,Rechner!$E$5+1716,""))</f>
        <v/>
      </c>
      <c r="B1718">
        <f>IF(A1718="","",LOOKUP(A1718,Basiszins!$A$5:$A$18,Basiszins!$B$5:$B$18))</f>
        <v/>
      </c>
      <c r="C1718">
        <f>IF(A1718="","",B1718+Rechner!$E$7)</f>
        <v/>
      </c>
      <c r="D1718">
        <f>J1717</f>
        <v/>
      </c>
      <c r="E1718">
        <f>IF(A1718="",0,D1718*C1718/100/(DATE(YEAR(A1718)+1,1,1)-DATE(YEAR(A1718),1,1)))</f>
        <v/>
      </c>
      <c r="F1718">
        <f>IF(A1718="",0,SUMIF(Rechner!$A$12:$A$21,A1718,Rechner!$B$12:$B$21))</f>
        <v/>
      </c>
      <c r="G1718">
        <f>H1717+E1718</f>
        <v/>
      </c>
      <c r="H1718">
        <f>G1718-MIN(F1718,G1718)</f>
        <v/>
      </c>
      <c r="I1718">
        <f>MIN(F1718-MIN(F1718,G1718),D1718)</f>
        <v/>
      </c>
      <c r="J1718">
        <f>D1718-I1718</f>
        <v/>
      </c>
      <c r="K1718">
        <f>F1718-MIN(F1718,G1718)-I1718</f>
        <v/>
      </c>
    </row>
    <row r="1719">
      <c r="A1719" s="21">
        <f>IF(Rechner!$E$4&lt;&gt;"ok","",IF(Rechner!$E$5+1717&lt;=Rechner!$B$6,Rechner!$E$5+1717,""))</f>
        <v/>
      </c>
      <c r="B1719">
        <f>IF(A1719="","",LOOKUP(A1719,Basiszins!$A$5:$A$18,Basiszins!$B$5:$B$18))</f>
        <v/>
      </c>
      <c r="C1719">
        <f>IF(A1719="","",B1719+Rechner!$E$7)</f>
        <v/>
      </c>
      <c r="D1719">
        <f>J1718</f>
        <v/>
      </c>
      <c r="E1719">
        <f>IF(A1719="",0,D1719*C1719/100/(DATE(YEAR(A1719)+1,1,1)-DATE(YEAR(A1719),1,1)))</f>
        <v/>
      </c>
      <c r="F1719">
        <f>IF(A1719="",0,SUMIF(Rechner!$A$12:$A$21,A1719,Rechner!$B$12:$B$21))</f>
        <v/>
      </c>
      <c r="G1719">
        <f>H1718+E1719</f>
        <v/>
      </c>
      <c r="H1719">
        <f>G1719-MIN(F1719,G1719)</f>
        <v/>
      </c>
      <c r="I1719">
        <f>MIN(F1719-MIN(F1719,G1719),D1719)</f>
        <v/>
      </c>
      <c r="J1719">
        <f>D1719-I1719</f>
        <v/>
      </c>
      <c r="K1719">
        <f>F1719-MIN(F1719,G1719)-I1719</f>
        <v/>
      </c>
    </row>
    <row r="1720">
      <c r="A1720" s="21">
        <f>IF(Rechner!$E$4&lt;&gt;"ok","",IF(Rechner!$E$5+1718&lt;=Rechner!$B$6,Rechner!$E$5+1718,""))</f>
        <v/>
      </c>
      <c r="B1720">
        <f>IF(A1720="","",LOOKUP(A1720,Basiszins!$A$5:$A$18,Basiszins!$B$5:$B$18))</f>
        <v/>
      </c>
      <c r="C1720">
        <f>IF(A1720="","",B1720+Rechner!$E$7)</f>
        <v/>
      </c>
      <c r="D1720">
        <f>J1719</f>
        <v/>
      </c>
      <c r="E1720">
        <f>IF(A1720="",0,D1720*C1720/100/(DATE(YEAR(A1720)+1,1,1)-DATE(YEAR(A1720),1,1)))</f>
        <v/>
      </c>
      <c r="F1720">
        <f>IF(A1720="",0,SUMIF(Rechner!$A$12:$A$21,A1720,Rechner!$B$12:$B$21))</f>
        <v/>
      </c>
      <c r="G1720">
        <f>H1719+E1720</f>
        <v/>
      </c>
      <c r="H1720">
        <f>G1720-MIN(F1720,G1720)</f>
        <v/>
      </c>
      <c r="I1720">
        <f>MIN(F1720-MIN(F1720,G1720),D1720)</f>
        <v/>
      </c>
      <c r="J1720">
        <f>D1720-I1720</f>
        <v/>
      </c>
      <c r="K1720">
        <f>F1720-MIN(F1720,G1720)-I1720</f>
        <v/>
      </c>
    </row>
    <row r="1721">
      <c r="A1721" s="21">
        <f>IF(Rechner!$E$4&lt;&gt;"ok","",IF(Rechner!$E$5+1719&lt;=Rechner!$B$6,Rechner!$E$5+1719,""))</f>
        <v/>
      </c>
      <c r="B1721">
        <f>IF(A1721="","",LOOKUP(A1721,Basiszins!$A$5:$A$18,Basiszins!$B$5:$B$18))</f>
        <v/>
      </c>
      <c r="C1721">
        <f>IF(A1721="","",B1721+Rechner!$E$7)</f>
        <v/>
      </c>
      <c r="D1721">
        <f>J1720</f>
        <v/>
      </c>
      <c r="E1721">
        <f>IF(A1721="",0,D1721*C1721/100/(DATE(YEAR(A1721)+1,1,1)-DATE(YEAR(A1721),1,1)))</f>
        <v/>
      </c>
      <c r="F1721">
        <f>IF(A1721="",0,SUMIF(Rechner!$A$12:$A$21,A1721,Rechner!$B$12:$B$21))</f>
        <v/>
      </c>
      <c r="G1721">
        <f>H1720+E1721</f>
        <v/>
      </c>
      <c r="H1721">
        <f>G1721-MIN(F1721,G1721)</f>
        <v/>
      </c>
      <c r="I1721">
        <f>MIN(F1721-MIN(F1721,G1721),D1721)</f>
        <v/>
      </c>
      <c r="J1721">
        <f>D1721-I1721</f>
        <v/>
      </c>
      <c r="K1721">
        <f>F1721-MIN(F1721,G1721)-I1721</f>
        <v/>
      </c>
    </row>
    <row r="1722">
      <c r="A1722" s="21">
        <f>IF(Rechner!$E$4&lt;&gt;"ok","",IF(Rechner!$E$5+1720&lt;=Rechner!$B$6,Rechner!$E$5+1720,""))</f>
        <v/>
      </c>
      <c r="B1722">
        <f>IF(A1722="","",LOOKUP(A1722,Basiszins!$A$5:$A$18,Basiszins!$B$5:$B$18))</f>
        <v/>
      </c>
      <c r="C1722">
        <f>IF(A1722="","",B1722+Rechner!$E$7)</f>
        <v/>
      </c>
      <c r="D1722">
        <f>J1721</f>
        <v/>
      </c>
      <c r="E1722">
        <f>IF(A1722="",0,D1722*C1722/100/(DATE(YEAR(A1722)+1,1,1)-DATE(YEAR(A1722),1,1)))</f>
        <v/>
      </c>
      <c r="F1722">
        <f>IF(A1722="",0,SUMIF(Rechner!$A$12:$A$21,A1722,Rechner!$B$12:$B$21))</f>
        <v/>
      </c>
      <c r="G1722">
        <f>H1721+E1722</f>
        <v/>
      </c>
      <c r="H1722">
        <f>G1722-MIN(F1722,G1722)</f>
        <v/>
      </c>
      <c r="I1722">
        <f>MIN(F1722-MIN(F1722,G1722),D1722)</f>
        <v/>
      </c>
      <c r="J1722">
        <f>D1722-I1722</f>
        <v/>
      </c>
      <c r="K1722">
        <f>F1722-MIN(F1722,G1722)-I1722</f>
        <v/>
      </c>
    </row>
    <row r="1723">
      <c r="A1723" s="21">
        <f>IF(Rechner!$E$4&lt;&gt;"ok","",IF(Rechner!$E$5+1721&lt;=Rechner!$B$6,Rechner!$E$5+1721,""))</f>
        <v/>
      </c>
      <c r="B1723">
        <f>IF(A1723="","",LOOKUP(A1723,Basiszins!$A$5:$A$18,Basiszins!$B$5:$B$18))</f>
        <v/>
      </c>
      <c r="C1723">
        <f>IF(A1723="","",B1723+Rechner!$E$7)</f>
        <v/>
      </c>
      <c r="D1723">
        <f>J1722</f>
        <v/>
      </c>
      <c r="E1723">
        <f>IF(A1723="",0,D1723*C1723/100/(DATE(YEAR(A1723)+1,1,1)-DATE(YEAR(A1723),1,1)))</f>
        <v/>
      </c>
      <c r="F1723">
        <f>IF(A1723="",0,SUMIF(Rechner!$A$12:$A$21,A1723,Rechner!$B$12:$B$21))</f>
        <v/>
      </c>
      <c r="G1723">
        <f>H1722+E1723</f>
        <v/>
      </c>
      <c r="H1723">
        <f>G1723-MIN(F1723,G1723)</f>
        <v/>
      </c>
      <c r="I1723">
        <f>MIN(F1723-MIN(F1723,G1723),D1723)</f>
        <v/>
      </c>
      <c r="J1723">
        <f>D1723-I1723</f>
        <v/>
      </c>
      <c r="K1723">
        <f>F1723-MIN(F1723,G1723)-I1723</f>
        <v/>
      </c>
    </row>
    <row r="1724">
      <c r="A1724" s="21">
        <f>IF(Rechner!$E$4&lt;&gt;"ok","",IF(Rechner!$E$5+1722&lt;=Rechner!$B$6,Rechner!$E$5+1722,""))</f>
        <v/>
      </c>
      <c r="B1724">
        <f>IF(A1724="","",LOOKUP(A1724,Basiszins!$A$5:$A$18,Basiszins!$B$5:$B$18))</f>
        <v/>
      </c>
      <c r="C1724">
        <f>IF(A1724="","",B1724+Rechner!$E$7)</f>
        <v/>
      </c>
      <c r="D1724">
        <f>J1723</f>
        <v/>
      </c>
      <c r="E1724">
        <f>IF(A1724="",0,D1724*C1724/100/(DATE(YEAR(A1724)+1,1,1)-DATE(YEAR(A1724),1,1)))</f>
        <v/>
      </c>
      <c r="F1724">
        <f>IF(A1724="",0,SUMIF(Rechner!$A$12:$A$21,A1724,Rechner!$B$12:$B$21))</f>
        <v/>
      </c>
      <c r="G1724">
        <f>H1723+E1724</f>
        <v/>
      </c>
      <c r="H1724">
        <f>G1724-MIN(F1724,G1724)</f>
        <v/>
      </c>
      <c r="I1724">
        <f>MIN(F1724-MIN(F1724,G1724),D1724)</f>
        <v/>
      </c>
      <c r="J1724">
        <f>D1724-I1724</f>
        <v/>
      </c>
      <c r="K1724">
        <f>F1724-MIN(F1724,G1724)-I1724</f>
        <v/>
      </c>
    </row>
    <row r="1725">
      <c r="A1725" s="21">
        <f>IF(Rechner!$E$4&lt;&gt;"ok","",IF(Rechner!$E$5+1723&lt;=Rechner!$B$6,Rechner!$E$5+1723,""))</f>
        <v/>
      </c>
      <c r="B1725">
        <f>IF(A1725="","",LOOKUP(A1725,Basiszins!$A$5:$A$18,Basiszins!$B$5:$B$18))</f>
        <v/>
      </c>
      <c r="C1725">
        <f>IF(A1725="","",B1725+Rechner!$E$7)</f>
        <v/>
      </c>
      <c r="D1725">
        <f>J1724</f>
        <v/>
      </c>
      <c r="E1725">
        <f>IF(A1725="",0,D1725*C1725/100/(DATE(YEAR(A1725)+1,1,1)-DATE(YEAR(A1725),1,1)))</f>
        <v/>
      </c>
      <c r="F1725">
        <f>IF(A1725="",0,SUMIF(Rechner!$A$12:$A$21,A1725,Rechner!$B$12:$B$21))</f>
        <v/>
      </c>
      <c r="G1725">
        <f>H1724+E1725</f>
        <v/>
      </c>
      <c r="H1725">
        <f>G1725-MIN(F1725,G1725)</f>
        <v/>
      </c>
      <c r="I1725">
        <f>MIN(F1725-MIN(F1725,G1725),D1725)</f>
        <v/>
      </c>
      <c r="J1725">
        <f>D1725-I1725</f>
        <v/>
      </c>
      <c r="K1725">
        <f>F1725-MIN(F1725,G1725)-I1725</f>
        <v/>
      </c>
    </row>
    <row r="1726">
      <c r="A1726" s="21">
        <f>IF(Rechner!$E$4&lt;&gt;"ok","",IF(Rechner!$E$5+1724&lt;=Rechner!$B$6,Rechner!$E$5+1724,""))</f>
        <v/>
      </c>
      <c r="B1726">
        <f>IF(A1726="","",LOOKUP(A1726,Basiszins!$A$5:$A$18,Basiszins!$B$5:$B$18))</f>
        <v/>
      </c>
      <c r="C1726">
        <f>IF(A1726="","",B1726+Rechner!$E$7)</f>
        <v/>
      </c>
      <c r="D1726">
        <f>J1725</f>
        <v/>
      </c>
      <c r="E1726">
        <f>IF(A1726="",0,D1726*C1726/100/(DATE(YEAR(A1726)+1,1,1)-DATE(YEAR(A1726),1,1)))</f>
        <v/>
      </c>
      <c r="F1726">
        <f>IF(A1726="",0,SUMIF(Rechner!$A$12:$A$21,A1726,Rechner!$B$12:$B$21))</f>
        <v/>
      </c>
      <c r="G1726">
        <f>H1725+E1726</f>
        <v/>
      </c>
      <c r="H1726">
        <f>G1726-MIN(F1726,G1726)</f>
        <v/>
      </c>
      <c r="I1726">
        <f>MIN(F1726-MIN(F1726,G1726),D1726)</f>
        <v/>
      </c>
      <c r="J1726">
        <f>D1726-I1726</f>
        <v/>
      </c>
      <c r="K1726">
        <f>F1726-MIN(F1726,G1726)-I1726</f>
        <v/>
      </c>
    </row>
    <row r="1727">
      <c r="A1727" s="21">
        <f>IF(Rechner!$E$4&lt;&gt;"ok","",IF(Rechner!$E$5+1725&lt;=Rechner!$B$6,Rechner!$E$5+1725,""))</f>
        <v/>
      </c>
      <c r="B1727">
        <f>IF(A1727="","",LOOKUP(A1727,Basiszins!$A$5:$A$18,Basiszins!$B$5:$B$18))</f>
        <v/>
      </c>
      <c r="C1727">
        <f>IF(A1727="","",B1727+Rechner!$E$7)</f>
        <v/>
      </c>
      <c r="D1727">
        <f>J1726</f>
        <v/>
      </c>
      <c r="E1727">
        <f>IF(A1727="",0,D1727*C1727/100/(DATE(YEAR(A1727)+1,1,1)-DATE(YEAR(A1727),1,1)))</f>
        <v/>
      </c>
      <c r="F1727">
        <f>IF(A1727="",0,SUMIF(Rechner!$A$12:$A$21,A1727,Rechner!$B$12:$B$21))</f>
        <v/>
      </c>
      <c r="G1727">
        <f>H1726+E1727</f>
        <v/>
      </c>
      <c r="H1727">
        <f>G1727-MIN(F1727,G1727)</f>
        <v/>
      </c>
      <c r="I1727">
        <f>MIN(F1727-MIN(F1727,G1727),D1727)</f>
        <v/>
      </c>
      <c r="J1727">
        <f>D1727-I1727</f>
        <v/>
      </c>
      <c r="K1727">
        <f>F1727-MIN(F1727,G1727)-I1727</f>
        <v/>
      </c>
    </row>
    <row r="1728">
      <c r="A1728" s="21">
        <f>IF(Rechner!$E$4&lt;&gt;"ok","",IF(Rechner!$E$5+1726&lt;=Rechner!$B$6,Rechner!$E$5+1726,""))</f>
        <v/>
      </c>
      <c r="B1728">
        <f>IF(A1728="","",LOOKUP(A1728,Basiszins!$A$5:$A$18,Basiszins!$B$5:$B$18))</f>
        <v/>
      </c>
      <c r="C1728">
        <f>IF(A1728="","",B1728+Rechner!$E$7)</f>
        <v/>
      </c>
      <c r="D1728">
        <f>J1727</f>
        <v/>
      </c>
      <c r="E1728">
        <f>IF(A1728="",0,D1728*C1728/100/(DATE(YEAR(A1728)+1,1,1)-DATE(YEAR(A1728),1,1)))</f>
        <v/>
      </c>
      <c r="F1728">
        <f>IF(A1728="",0,SUMIF(Rechner!$A$12:$A$21,A1728,Rechner!$B$12:$B$21))</f>
        <v/>
      </c>
      <c r="G1728">
        <f>H1727+E1728</f>
        <v/>
      </c>
      <c r="H1728">
        <f>G1728-MIN(F1728,G1728)</f>
        <v/>
      </c>
      <c r="I1728">
        <f>MIN(F1728-MIN(F1728,G1728),D1728)</f>
        <v/>
      </c>
      <c r="J1728">
        <f>D1728-I1728</f>
        <v/>
      </c>
      <c r="K1728">
        <f>F1728-MIN(F1728,G1728)-I1728</f>
        <v/>
      </c>
    </row>
    <row r="1729">
      <c r="A1729" s="21">
        <f>IF(Rechner!$E$4&lt;&gt;"ok","",IF(Rechner!$E$5+1727&lt;=Rechner!$B$6,Rechner!$E$5+1727,""))</f>
        <v/>
      </c>
      <c r="B1729">
        <f>IF(A1729="","",LOOKUP(A1729,Basiszins!$A$5:$A$18,Basiszins!$B$5:$B$18))</f>
        <v/>
      </c>
      <c r="C1729">
        <f>IF(A1729="","",B1729+Rechner!$E$7)</f>
        <v/>
      </c>
      <c r="D1729">
        <f>J1728</f>
        <v/>
      </c>
      <c r="E1729">
        <f>IF(A1729="",0,D1729*C1729/100/(DATE(YEAR(A1729)+1,1,1)-DATE(YEAR(A1729),1,1)))</f>
        <v/>
      </c>
      <c r="F1729">
        <f>IF(A1729="",0,SUMIF(Rechner!$A$12:$A$21,A1729,Rechner!$B$12:$B$21))</f>
        <v/>
      </c>
      <c r="G1729">
        <f>H1728+E1729</f>
        <v/>
      </c>
      <c r="H1729">
        <f>G1729-MIN(F1729,G1729)</f>
        <v/>
      </c>
      <c r="I1729">
        <f>MIN(F1729-MIN(F1729,G1729),D1729)</f>
        <v/>
      </c>
      <c r="J1729">
        <f>D1729-I1729</f>
        <v/>
      </c>
      <c r="K1729">
        <f>F1729-MIN(F1729,G1729)-I1729</f>
        <v/>
      </c>
    </row>
    <row r="1730">
      <c r="A1730" s="21">
        <f>IF(Rechner!$E$4&lt;&gt;"ok","",IF(Rechner!$E$5+1728&lt;=Rechner!$B$6,Rechner!$E$5+1728,""))</f>
        <v/>
      </c>
      <c r="B1730">
        <f>IF(A1730="","",LOOKUP(A1730,Basiszins!$A$5:$A$18,Basiszins!$B$5:$B$18))</f>
        <v/>
      </c>
      <c r="C1730">
        <f>IF(A1730="","",B1730+Rechner!$E$7)</f>
        <v/>
      </c>
      <c r="D1730">
        <f>J1729</f>
        <v/>
      </c>
      <c r="E1730">
        <f>IF(A1730="",0,D1730*C1730/100/(DATE(YEAR(A1730)+1,1,1)-DATE(YEAR(A1730),1,1)))</f>
        <v/>
      </c>
      <c r="F1730">
        <f>IF(A1730="",0,SUMIF(Rechner!$A$12:$A$21,A1730,Rechner!$B$12:$B$21))</f>
        <v/>
      </c>
      <c r="G1730">
        <f>H1729+E1730</f>
        <v/>
      </c>
      <c r="H1730">
        <f>G1730-MIN(F1730,G1730)</f>
        <v/>
      </c>
      <c r="I1730">
        <f>MIN(F1730-MIN(F1730,G1730),D1730)</f>
        <v/>
      </c>
      <c r="J1730">
        <f>D1730-I1730</f>
        <v/>
      </c>
      <c r="K1730">
        <f>F1730-MIN(F1730,G1730)-I1730</f>
        <v/>
      </c>
    </row>
    <row r="1731">
      <c r="A1731" s="21">
        <f>IF(Rechner!$E$4&lt;&gt;"ok","",IF(Rechner!$E$5+1729&lt;=Rechner!$B$6,Rechner!$E$5+1729,""))</f>
        <v/>
      </c>
      <c r="B1731">
        <f>IF(A1731="","",LOOKUP(A1731,Basiszins!$A$5:$A$18,Basiszins!$B$5:$B$18))</f>
        <v/>
      </c>
      <c r="C1731">
        <f>IF(A1731="","",B1731+Rechner!$E$7)</f>
        <v/>
      </c>
      <c r="D1731">
        <f>J1730</f>
        <v/>
      </c>
      <c r="E1731">
        <f>IF(A1731="",0,D1731*C1731/100/(DATE(YEAR(A1731)+1,1,1)-DATE(YEAR(A1731),1,1)))</f>
        <v/>
      </c>
      <c r="F1731">
        <f>IF(A1731="",0,SUMIF(Rechner!$A$12:$A$21,A1731,Rechner!$B$12:$B$21))</f>
        <v/>
      </c>
      <c r="G1731">
        <f>H1730+E1731</f>
        <v/>
      </c>
      <c r="H1731">
        <f>G1731-MIN(F1731,G1731)</f>
        <v/>
      </c>
      <c r="I1731">
        <f>MIN(F1731-MIN(F1731,G1731),D1731)</f>
        <v/>
      </c>
      <c r="J1731">
        <f>D1731-I1731</f>
        <v/>
      </c>
      <c r="K1731">
        <f>F1731-MIN(F1731,G1731)-I1731</f>
        <v/>
      </c>
    </row>
    <row r="1732">
      <c r="A1732" s="21">
        <f>IF(Rechner!$E$4&lt;&gt;"ok","",IF(Rechner!$E$5+1730&lt;=Rechner!$B$6,Rechner!$E$5+1730,""))</f>
        <v/>
      </c>
      <c r="B1732">
        <f>IF(A1732="","",LOOKUP(A1732,Basiszins!$A$5:$A$18,Basiszins!$B$5:$B$18))</f>
        <v/>
      </c>
      <c r="C1732">
        <f>IF(A1732="","",B1732+Rechner!$E$7)</f>
        <v/>
      </c>
      <c r="D1732">
        <f>J1731</f>
        <v/>
      </c>
      <c r="E1732">
        <f>IF(A1732="",0,D1732*C1732/100/(DATE(YEAR(A1732)+1,1,1)-DATE(YEAR(A1732),1,1)))</f>
        <v/>
      </c>
      <c r="F1732">
        <f>IF(A1732="",0,SUMIF(Rechner!$A$12:$A$21,A1732,Rechner!$B$12:$B$21))</f>
        <v/>
      </c>
      <c r="G1732">
        <f>H1731+E1732</f>
        <v/>
      </c>
      <c r="H1732">
        <f>G1732-MIN(F1732,G1732)</f>
        <v/>
      </c>
      <c r="I1732">
        <f>MIN(F1732-MIN(F1732,G1732),D1732)</f>
        <v/>
      </c>
      <c r="J1732">
        <f>D1732-I1732</f>
        <v/>
      </c>
      <c r="K1732">
        <f>F1732-MIN(F1732,G1732)-I1732</f>
        <v/>
      </c>
    </row>
    <row r="1733">
      <c r="A1733" s="21">
        <f>IF(Rechner!$E$4&lt;&gt;"ok","",IF(Rechner!$E$5+1731&lt;=Rechner!$B$6,Rechner!$E$5+1731,""))</f>
        <v/>
      </c>
      <c r="B1733">
        <f>IF(A1733="","",LOOKUP(A1733,Basiszins!$A$5:$A$18,Basiszins!$B$5:$B$18))</f>
        <v/>
      </c>
      <c r="C1733">
        <f>IF(A1733="","",B1733+Rechner!$E$7)</f>
        <v/>
      </c>
      <c r="D1733">
        <f>J1732</f>
        <v/>
      </c>
      <c r="E1733">
        <f>IF(A1733="",0,D1733*C1733/100/(DATE(YEAR(A1733)+1,1,1)-DATE(YEAR(A1733),1,1)))</f>
        <v/>
      </c>
      <c r="F1733">
        <f>IF(A1733="",0,SUMIF(Rechner!$A$12:$A$21,A1733,Rechner!$B$12:$B$21))</f>
        <v/>
      </c>
      <c r="G1733">
        <f>H1732+E1733</f>
        <v/>
      </c>
      <c r="H1733">
        <f>G1733-MIN(F1733,G1733)</f>
        <v/>
      </c>
      <c r="I1733">
        <f>MIN(F1733-MIN(F1733,G1733),D1733)</f>
        <v/>
      </c>
      <c r="J1733">
        <f>D1733-I1733</f>
        <v/>
      </c>
      <c r="K1733">
        <f>F1733-MIN(F1733,G1733)-I1733</f>
        <v/>
      </c>
    </row>
    <row r="1734">
      <c r="A1734" s="21">
        <f>IF(Rechner!$E$4&lt;&gt;"ok","",IF(Rechner!$E$5+1732&lt;=Rechner!$B$6,Rechner!$E$5+1732,""))</f>
        <v/>
      </c>
      <c r="B1734">
        <f>IF(A1734="","",LOOKUP(A1734,Basiszins!$A$5:$A$18,Basiszins!$B$5:$B$18))</f>
        <v/>
      </c>
      <c r="C1734">
        <f>IF(A1734="","",B1734+Rechner!$E$7)</f>
        <v/>
      </c>
      <c r="D1734">
        <f>J1733</f>
        <v/>
      </c>
      <c r="E1734">
        <f>IF(A1734="",0,D1734*C1734/100/(DATE(YEAR(A1734)+1,1,1)-DATE(YEAR(A1734),1,1)))</f>
        <v/>
      </c>
      <c r="F1734">
        <f>IF(A1734="",0,SUMIF(Rechner!$A$12:$A$21,A1734,Rechner!$B$12:$B$21))</f>
        <v/>
      </c>
      <c r="G1734">
        <f>H1733+E1734</f>
        <v/>
      </c>
      <c r="H1734">
        <f>G1734-MIN(F1734,G1734)</f>
        <v/>
      </c>
      <c r="I1734">
        <f>MIN(F1734-MIN(F1734,G1734),D1734)</f>
        <v/>
      </c>
      <c r="J1734">
        <f>D1734-I1734</f>
        <v/>
      </c>
      <c r="K1734">
        <f>F1734-MIN(F1734,G1734)-I1734</f>
        <v/>
      </c>
    </row>
    <row r="1735">
      <c r="A1735" s="21">
        <f>IF(Rechner!$E$4&lt;&gt;"ok","",IF(Rechner!$E$5+1733&lt;=Rechner!$B$6,Rechner!$E$5+1733,""))</f>
        <v/>
      </c>
      <c r="B1735">
        <f>IF(A1735="","",LOOKUP(A1735,Basiszins!$A$5:$A$18,Basiszins!$B$5:$B$18))</f>
        <v/>
      </c>
      <c r="C1735">
        <f>IF(A1735="","",B1735+Rechner!$E$7)</f>
        <v/>
      </c>
      <c r="D1735">
        <f>J1734</f>
        <v/>
      </c>
      <c r="E1735">
        <f>IF(A1735="",0,D1735*C1735/100/(DATE(YEAR(A1735)+1,1,1)-DATE(YEAR(A1735),1,1)))</f>
        <v/>
      </c>
      <c r="F1735">
        <f>IF(A1735="",0,SUMIF(Rechner!$A$12:$A$21,A1735,Rechner!$B$12:$B$21))</f>
        <v/>
      </c>
      <c r="G1735">
        <f>H1734+E1735</f>
        <v/>
      </c>
      <c r="H1735">
        <f>G1735-MIN(F1735,G1735)</f>
        <v/>
      </c>
      <c r="I1735">
        <f>MIN(F1735-MIN(F1735,G1735),D1735)</f>
        <v/>
      </c>
      <c r="J1735">
        <f>D1735-I1735</f>
        <v/>
      </c>
      <c r="K1735">
        <f>F1735-MIN(F1735,G1735)-I1735</f>
        <v/>
      </c>
    </row>
    <row r="1736">
      <c r="A1736" s="21">
        <f>IF(Rechner!$E$4&lt;&gt;"ok","",IF(Rechner!$E$5+1734&lt;=Rechner!$B$6,Rechner!$E$5+1734,""))</f>
        <v/>
      </c>
      <c r="B1736">
        <f>IF(A1736="","",LOOKUP(A1736,Basiszins!$A$5:$A$18,Basiszins!$B$5:$B$18))</f>
        <v/>
      </c>
      <c r="C1736">
        <f>IF(A1736="","",B1736+Rechner!$E$7)</f>
        <v/>
      </c>
      <c r="D1736">
        <f>J1735</f>
        <v/>
      </c>
      <c r="E1736">
        <f>IF(A1736="",0,D1736*C1736/100/(DATE(YEAR(A1736)+1,1,1)-DATE(YEAR(A1736),1,1)))</f>
        <v/>
      </c>
      <c r="F1736">
        <f>IF(A1736="",0,SUMIF(Rechner!$A$12:$A$21,A1736,Rechner!$B$12:$B$21))</f>
        <v/>
      </c>
      <c r="G1736">
        <f>H1735+E1736</f>
        <v/>
      </c>
      <c r="H1736">
        <f>G1736-MIN(F1736,G1736)</f>
        <v/>
      </c>
      <c r="I1736">
        <f>MIN(F1736-MIN(F1736,G1736),D1736)</f>
        <v/>
      </c>
      <c r="J1736">
        <f>D1736-I1736</f>
        <v/>
      </c>
      <c r="K1736">
        <f>F1736-MIN(F1736,G1736)-I1736</f>
        <v/>
      </c>
    </row>
    <row r="1737">
      <c r="A1737" s="21">
        <f>IF(Rechner!$E$4&lt;&gt;"ok","",IF(Rechner!$E$5+1735&lt;=Rechner!$B$6,Rechner!$E$5+1735,""))</f>
        <v/>
      </c>
      <c r="B1737">
        <f>IF(A1737="","",LOOKUP(A1737,Basiszins!$A$5:$A$18,Basiszins!$B$5:$B$18))</f>
        <v/>
      </c>
      <c r="C1737">
        <f>IF(A1737="","",B1737+Rechner!$E$7)</f>
        <v/>
      </c>
      <c r="D1737">
        <f>J1736</f>
        <v/>
      </c>
      <c r="E1737">
        <f>IF(A1737="",0,D1737*C1737/100/(DATE(YEAR(A1737)+1,1,1)-DATE(YEAR(A1737),1,1)))</f>
        <v/>
      </c>
      <c r="F1737">
        <f>IF(A1737="",0,SUMIF(Rechner!$A$12:$A$21,A1737,Rechner!$B$12:$B$21))</f>
        <v/>
      </c>
      <c r="G1737">
        <f>H1736+E1737</f>
        <v/>
      </c>
      <c r="H1737">
        <f>G1737-MIN(F1737,G1737)</f>
        <v/>
      </c>
      <c r="I1737">
        <f>MIN(F1737-MIN(F1737,G1737),D1737)</f>
        <v/>
      </c>
      <c r="J1737">
        <f>D1737-I1737</f>
        <v/>
      </c>
      <c r="K1737">
        <f>F1737-MIN(F1737,G1737)-I1737</f>
        <v/>
      </c>
    </row>
    <row r="1738">
      <c r="A1738" s="21">
        <f>IF(Rechner!$E$4&lt;&gt;"ok","",IF(Rechner!$E$5+1736&lt;=Rechner!$B$6,Rechner!$E$5+1736,""))</f>
        <v/>
      </c>
      <c r="B1738">
        <f>IF(A1738="","",LOOKUP(A1738,Basiszins!$A$5:$A$18,Basiszins!$B$5:$B$18))</f>
        <v/>
      </c>
      <c r="C1738">
        <f>IF(A1738="","",B1738+Rechner!$E$7)</f>
        <v/>
      </c>
      <c r="D1738">
        <f>J1737</f>
        <v/>
      </c>
      <c r="E1738">
        <f>IF(A1738="",0,D1738*C1738/100/(DATE(YEAR(A1738)+1,1,1)-DATE(YEAR(A1738),1,1)))</f>
        <v/>
      </c>
      <c r="F1738">
        <f>IF(A1738="",0,SUMIF(Rechner!$A$12:$A$21,A1738,Rechner!$B$12:$B$21))</f>
        <v/>
      </c>
      <c r="G1738">
        <f>H1737+E1738</f>
        <v/>
      </c>
      <c r="H1738">
        <f>G1738-MIN(F1738,G1738)</f>
        <v/>
      </c>
      <c r="I1738">
        <f>MIN(F1738-MIN(F1738,G1738),D1738)</f>
        <v/>
      </c>
      <c r="J1738">
        <f>D1738-I1738</f>
        <v/>
      </c>
      <c r="K1738">
        <f>F1738-MIN(F1738,G1738)-I1738</f>
        <v/>
      </c>
    </row>
    <row r="1739">
      <c r="A1739" s="21">
        <f>IF(Rechner!$E$4&lt;&gt;"ok","",IF(Rechner!$E$5+1737&lt;=Rechner!$B$6,Rechner!$E$5+1737,""))</f>
        <v/>
      </c>
      <c r="B1739">
        <f>IF(A1739="","",LOOKUP(A1739,Basiszins!$A$5:$A$18,Basiszins!$B$5:$B$18))</f>
        <v/>
      </c>
      <c r="C1739">
        <f>IF(A1739="","",B1739+Rechner!$E$7)</f>
        <v/>
      </c>
      <c r="D1739">
        <f>J1738</f>
        <v/>
      </c>
      <c r="E1739">
        <f>IF(A1739="",0,D1739*C1739/100/(DATE(YEAR(A1739)+1,1,1)-DATE(YEAR(A1739),1,1)))</f>
        <v/>
      </c>
      <c r="F1739">
        <f>IF(A1739="",0,SUMIF(Rechner!$A$12:$A$21,A1739,Rechner!$B$12:$B$21))</f>
        <v/>
      </c>
      <c r="G1739">
        <f>H1738+E1739</f>
        <v/>
      </c>
      <c r="H1739">
        <f>G1739-MIN(F1739,G1739)</f>
        <v/>
      </c>
      <c r="I1739">
        <f>MIN(F1739-MIN(F1739,G1739),D1739)</f>
        <v/>
      </c>
      <c r="J1739">
        <f>D1739-I1739</f>
        <v/>
      </c>
      <c r="K1739">
        <f>F1739-MIN(F1739,G1739)-I1739</f>
        <v/>
      </c>
    </row>
    <row r="1740">
      <c r="A1740" s="21">
        <f>IF(Rechner!$E$4&lt;&gt;"ok","",IF(Rechner!$E$5+1738&lt;=Rechner!$B$6,Rechner!$E$5+1738,""))</f>
        <v/>
      </c>
      <c r="B1740">
        <f>IF(A1740="","",LOOKUP(A1740,Basiszins!$A$5:$A$18,Basiszins!$B$5:$B$18))</f>
        <v/>
      </c>
      <c r="C1740">
        <f>IF(A1740="","",B1740+Rechner!$E$7)</f>
        <v/>
      </c>
      <c r="D1740">
        <f>J1739</f>
        <v/>
      </c>
      <c r="E1740">
        <f>IF(A1740="",0,D1740*C1740/100/(DATE(YEAR(A1740)+1,1,1)-DATE(YEAR(A1740),1,1)))</f>
        <v/>
      </c>
      <c r="F1740">
        <f>IF(A1740="",0,SUMIF(Rechner!$A$12:$A$21,A1740,Rechner!$B$12:$B$21))</f>
        <v/>
      </c>
      <c r="G1740">
        <f>H1739+E1740</f>
        <v/>
      </c>
      <c r="H1740">
        <f>G1740-MIN(F1740,G1740)</f>
        <v/>
      </c>
      <c r="I1740">
        <f>MIN(F1740-MIN(F1740,G1740),D1740)</f>
        <v/>
      </c>
      <c r="J1740">
        <f>D1740-I1740</f>
        <v/>
      </c>
      <c r="K1740">
        <f>F1740-MIN(F1740,G1740)-I1740</f>
        <v/>
      </c>
    </row>
    <row r="1741">
      <c r="A1741" s="21">
        <f>IF(Rechner!$E$4&lt;&gt;"ok","",IF(Rechner!$E$5+1739&lt;=Rechner!$B$6,Rechner!$E$5+1739,""))</f>
        <v/>
      </c>
      <c r="B1741">
        <f>IF(A1741="","",LOOKUP(A1741,Basiszins!$A$5:$A$18,Basiszins!$B$5:$B$18))</f>
        <v/>
      </c>
      <c r="C1741">
        <f>IF(A1741="","",B1741+Rechner!$E$7)</f>
        <v/>
      </c>
      <c r="D1741">
        <f>J1740</f>
        <v/>
      </c>
      <c r="E1741">
        <f>IF(A1741="",0,D1741*C1741/100/(DATE(YEAR(A1741)+1,1,1)-DATE(YEAR(A1741),1,1)))</f>
        <v/>
      </c>
      <c r="F1741">
        <f>IF(A1741="",0,SUMIF(Rechner!$A$12:$A$21,A1741,Rechner!$B$12:$B$21))</f>
        <v/>
      </c>
      <c r="G1741">
        <f>H1740+E1741</f>
        <v/>
      </c>
      <c r="H1741">
        <f>G1741-MIN(F1741,G1741)</f>
        <v/>
      </c>
      <c r="I1741">
        <f>MIN(F1741-MIN(F1741,G1741),D1741)</f>
        <v/>
      </c>
      <c r="J1741">
        <f>D1741-I1741</f>
        <v/>
      </c>
      <c r="K1741">
        <f>F1741-MIN(F1741,G1741)-I1741</f>
        <v/>
      </c>
    </row>
    <row r="1742">
      <c r="A1742" s="21">
        <f>IF(Rechner!$E$4&lt;&gt;"ok","",IF(Rechner!$E$5+1740&lt;=Rechner!$B$6,Rechner!$E$5+1740,""))</f>
        <v/>
      </c>
      <c r="B1742">
        <f>IF(A1742="","",LOOKUP(A1742,Basiszins!$A$5:$A$18,Basiszins!$B$5:$B$18))</f>
        <v/>
      </c>
      <c r="C1742">
        <f>IF(A1742="","",B1742+Rechner!$E$7)</f>
        <v/>
      </c>
      <c r="D1742">
        <f>J1741</f>
        <v/>
      </c>
      <c r="E1742">
        <f>IF(A1742="",0,D1742*C1742/100/(DATE(YEAR(A1742)+1,1,1)-DATE(YEAR(A1742),1,1)))</f>
        <v/>
      </c>
      <c r="F1742">
        <f>IF(A1742="",0,SUMIF(Rechner!$A$12:$A$21,A1742,Rechner!$B$12:$B$21))</f>
        <v/>
      </c>
      <c r="G1742">
        <f>H1741+E1742</f>
        <v/>
      </c>
      <c r="H1742">
        <f>G1742-MIN(F1742,G1742)</f>
        <v/>
      </c>
      <c r="I1742">
        <f>MIN(F1742-MIN(F1742,G1742),D1742)</f>
        <v/>
      </c>
      <c r="J1742">
        <f>D1742-I1742</f>
        <v/>
      </c>
      <c r="K1742">
        <f>F1742-MIN(F1742,G1742)-I1742</f>
        <v/>
      </c>
    </row>
    <row r="1743">
      <c r="A1743" s="21">
        <f>IF(Rechner!$E$4&lt;&gt;"ok","",IF(Rechner!$E$5+1741&lt;=Rechner!$B$6,Rechner!$E$5+1741,""))</f>
        <v/>
      </c>
      <c r="B1743">
        <f>IF(A1743="","",LOOKUP(A1743,Basiszins!$A$5:$A$18,Basiszins!$B$5:$B$18))</f>
        <v/>
      </c>
      <c r="C1743">
        <f>IF(A1743="","",B1743+Rechner!$E$7)</f>
        <v/>
      </c>
      <c r="D1743">
        <f>J1742</f>
        <v/>
      </c>
      <c r="E1743">
        <f>IF(A1743="",0,D1743*C1743/100/(DATE(YEAR(A1743)+1,1,1)-DATE(YEAR(A1743),1,1)))</f>
        <v/>
      </c>
      <c r="F1743">
        <f>IF(A1743="",0,SUMIF(Rechner!$A$12:$A$21,A1743,Rechner!$B$12:$B$21))</f>
        <v/>
      </c>
      <c r="G1743">
        <f>H1742+E1743</f>
        <v/>
      </c>
      <c r="H1743">
        <f>G1743-MIN(F1743,G1743)</f>
        <v/>
      </c>
      <c r="I1743">
        <f>MIN(F1743-MIN(F1743,G1743),D1743)</f>
        <v/>
      </c>
      <c r="J1743">
        <f>D1743-I1743</f>
        <v/>
      </c>
      <c r="K1743">
        <f>F1743-MIN(F1743,G1743)-I1743</f>
        <v/>
      </c>
    </row>
    <row r="1744">
      <c r="A1744" s="21">
        <f>IF(Rechner!$E$4&lt;&gt;"ok","",IF(Rechner!$E$5+1742&lt;=Rechner!$B$6,Rechner!$E$5+1742,""))</f>
        <v/>
      </c>
      <c r="B1744">
        <f>IF(A1744="","",LOOKUP(A1744,Basiszins!$A$5:$A$18,Basiszins!$B$5:$B$18))</f>
        <v/>
      </c>
      <c r="C1744">
        <f>IF(A1744="","",B1744+Rechner!$E$7)</f>
        <v/>
      </c>
      <c r="D1744">
        <f>J1743</f>
        <v/>
      </c>
      <c r="E1744">
        <f>IF(A1744="",0,D1744*C1744/100/(DATE(YEAR(A1744)+1,1,1)-DATE(YEAR(A1744),1,1)))</f>
        <v/>
      </c>
      <c r="F1744">
        <f>IF(A1744="",0,SUMIF(Rechner!$A$12:$A$21,A1744,Rechner!$B$12:$B$21))</f>
        <v/>
      </c>
      <c r="G1744">
        <f>H1743+E1744</f>
        <v/>
      </c>
      <c r="H1744">
        <f>G1744-MIN(F1744,G1744)</f>
        <v/>
      </c>
      <c r="I1744">
        <f>MIN(F1744-MIN(F1744,G1744),D1744)</f>
        <v/>
      </c>
      <c r="J1744">
        <f>D1744-I1744</f>
        <v/>
      </c>
      <c r="K1744">
        <f>F1744-MIN(F1744,G1744)-I1744</f>
        <v/>
      </c>
    </row>
    <row r="1745">
      <c r="A1745" s="21">
        <f>IF(Rechner!$E$4&lt;&gt;"ok","",IF(Rechner!$E$5+1743&lt;=Rechner!$B$6,Rechner!$E$5+1743,""))</f>
        <v/>
      </c>
      <c r="B1745">
        <f>IF(A1745="","",LOOKUP(A1745,Basiszins!$A$5:$A$18,Basiszins!$B$5:$B$18))</f>
        <v/>
      </c>
      <c r="C1745">
        <f>IF(A1745="","",B1745+Rechner!$E$7)</f>
        <v/>
      </c>
      <c r="D1745">
        <f>J1744</f>
        <v/>
      </c>
      <c r="E1745">
        <f>IF(A1745="",0,D1745*C1745/100/(DATE(YEAR(A1745)+1,1,1)-DATE(YEAR(A1745),1,1)))</f>
        <v/>
      </c>
      <c r="F1745">
        <f>IF(A1745="",0,SUMIF(Rechner!$A$12:$A$21,A1745,Rechner!$B$12:$B$21))</f>
        <v/>
      </c>
      <c r="G1745">
        <f>H1744+E1745</f>
        <v/>
      </c>
      <c r="H1745">
        <f>G1745-MIN(F1745,G1745)</f>
        <v/>
      </c>
      <c r="I1745">
        <f>MIN(F1745-MIN(F1745,G1745),D1745)</f>
        <v/>
      </c>
      <c r="J1745">
        <f>D1745-I1745</f>
        <v/>
      </c>
      <c r="K1745">
        <f>F1745-MIN(F1745,G1745)-I1745</f>
        <v/>
      </c>
    </row>
    <row r="1746">
      <c r="A1746" s="21">
        <f>IF(Rechner!$E$4&lt;&gt;"ok","",IF(Rechner!$E$5+1744&lt;=Rechner!$B$6,Rechner!$E$5+1744,""))</f>
        <v/>
      </c>
      <c r="B1746">
        <f>IF(A1746="","",LOOKUP(A1746,Basiszins!$A$5:$A$18,Basiszins!$B$5:$B$18))</f>
        <v/>
      </c>
      <c r="C1746">
        <f>IF(A1746="","",B1746+Rechner!$E$7)</f>
        <v/>
      </c>
      <c r="D1746">
        <f>J1745</f>
        <v/>
      </c>
      <c r="E1746">
        <f>IF(A1746="",0,D1746*C1746/100/(DATE(YEAR(A1746)+1,1,1)-DATE(YEAR(A1746),1,1)))</f>
        <v/>
      </c>
      <c r="F1746">
        <f>IF(A1746="",0,SUMIF(Rechner!$A$12:$A$21,A1746,Rechner!$B$12:$B$21))</f>
        <v/>
      </c>
      <c r="G1746">
        <f>H1745+E1746</f>
        <v/>
      </c>
      <c r="H1746">
        <f>G1746-MIN(F1746,G1746)</f>
        <v/>
      </c>
      <c r="I1746">
        <f>MIN(F1746-MIN(F1746,G1746),D1746)</f>
        <v/>
      </c>
      <c r="J1746">
        <f>D1746-I1746</f>
        <v/>
      </c>
      <c r="K1746">
        <f>F1746-MIN(F1746,G1746)-I1746</f>
        <v/>
      </c>
    </row>
    <row r="1747">
      <c r="A1747" s="21">
        <f>IF(Rechner!$E$4&lt;&gt;"ok","",IF(Rechner!$E$5+1745&lt;=Rechner!$B$6,Rechner!$E$5+1745,""))</f>
        <v/>
      </c>
      <c r="B1747">
        <f>IF(A1747="","",LOOKUP(A1747,Basiszins!$A$5:$A$18,Basiszins!$B$5:$B$18))</f>
        <v/>
      </c>
      <c r="C1747">
        <f>IF(A1747="","",B1747+Rechner!$E$7)</f>
        <v/>
      </c>
      <c r="D1747">
        <f>J1746</f>
        <v/>
      </c>
      <c r="E1747">
        <f>IF(A1747="",0,D1747*C1747/100/(DATE(YEAR(A1747)+1,1,1)-DATE(YEAR(A1747),1,1)))</f>
        <v/>
      </c>
      <c r="F1747">
        <f>IF(A1747="",0,SUMIF(Rechner!$A$12:$A$21,A1747,Rechner!$B$12:$B$21))</f>
        <v/>
      </c>
      <c r="G1747">
        <f>H1746+E1747</f>
        <v/>
      </c>
      <c r="H1747">
        <f>G1747-MIN(F1747,G1747)</f>
        <v/>
      </c>
      <c r="I1747">
        <f>MIN(F1747-MIN(F1747,G1747),D1747)</f>
        <v/>
      </c>
      <c r="J1747">
        <f>D1747-I1747</f>
        <v/>
      </c>
      <c r="K1747">
        <f>F1747-MIN(F1747,G1747)-I1747</f>
        <v/>
      </c>
    </row>
    <row r="1748">
      <c r="A1748" s="21">
        <f>IF(Rechner!$E$4&lt;&gt;"ok","",IF(Rechner!$E$5+1746&lt;=Rechner!$B$6,Rechner!$E$5+1746,""))</f>
        <v/>
      </c>
      <c r="B1748">
        <f>IF(A1748="","",LOOKUP(A1748,Basiszins!$A$5:$A$18,Basiszins!$B$5:$B$18))</f>
        <v/>
      </c>
      <c r="C1748">
        <f>IF(A1748="","",B1748+Rechner!$E$7)</f>
        <v/>
      </c>
      <c r="D1748">
        <f>J1747</f>
        <v/>
      </c>
      <c r="E1748">
        <f>IF(A1748="",0,D1748*C1748/100/(DATE(YEAR(A1748)+1,1,1)-DATE(YEAR(A1748),1,1)))</f>
        <v/>
      </c>
      <c r="F1748">
        <f>IF(A1748="",0,SUMIF(Rechner!$A$12:$A$21,A1748,Rechner!$B$12:$B$21))</f>
        <v/>
      </c>
      <c r="G1748">
        <f>H1747+E1748</f>
        <v/>
      </c>
      <c r="H1748">
        <f>G1748-MIN(F1748,G1748)</f>
        <v/>
      </c>
      <c r="I1748">
        <f>MIN(F1748-MIN(F1748,G1748),D1748)</f>
        <v/>
      </c>
      <c r="J1748">
        <f>D1748-I1748</f>
        <v/>
      </c>
      <c r="K1748">
        <f>F1748-MIN(F1748,G1748)-I1748</f>
        <v/>
      </c>
    </row>
    <row r="1749">
      <c r="A1749" s="21">
        <f>IF(Rechner!$E$4&lt;&gt;"ok","",IF(Rechner!$E$5+1747&lt;=Rechner!$B$6,Rechner!$E$5+1747,""))</f>
        <v/>
      </c>
      <c r="B1749">
        <f>IF(A1749="","",LOOKUP(A1749,Basiszins!$A$5:$A$18,Basiszins!$B$5:$B$18))</f>
        <v/>
      </c>
      <c r="C1749">
        <f>IF(A1749="","",B1749+Rechner!$E$7)</f>
        <v/>
      </c>
      <c r="D1749">
        <f>J1748</f>
        <v/>
      </c>
      <c r="E1749">
        <f>IF(A1749="",0,D1749*C1749/100/(DATE(YEAR(A1749)+1,1,1)-DATE(YEAR(A1749),1,1)))</f>
        <v/>
      </c>
      <c r="F1749">
        <f>IF(A1749="",0,SUMIF(Rechner!$A$12:$A$21,A1749,Rechner!$B$12:$B$21))</f>
        <v/>
      </c>
      <c r="G1749">
        <f>H1748+E1749</f>
        <v/>
      </c>
      <c r="H1749">
        <f>G1749-MIN(F1749,G1749)</f>
        <v/>
      </c>
      <c r="I1749">
        <f>MIN(F1749-MIN(F1749,G1749),D1749)</f>
        <v/>
      </c>
      <c r="J1749">
        <f>D1749-I1749</f>
        <v/>
      </c>
      <c r="K1749">
        <f>F1749-MIN(F1749,G1749)-I1749</f>
        <v/>
      </c>
    </row>
    <row r="1750">
      <c r="A1750" s="21">
        <f>IF(Rechner!$E$4&lt;&gt;"ok","",IF(Rechner!$E$5+1748&lt;=Rechner!$B$6,Rechner!$E$5+1748,""))</f>
        <v/>
      </c>
      <c r="B1750">
        <f>IF(A1750="","",LOOKUP(A1750,Basiszins!$A$5:$A$18,Basiszins!$B$5:$B$18))</f>
        <v/>
      </c>
      <c r="C1750">
        <f>IF(A1750="","",B1750+Rechner!$E$7)</f>
        <v/>
      </c>
      <c r="D1750">
        <f>J1749</f>
        <v/>
      </c>
      <c r="E1750">
        <f>IF(A1750="",0,D1750*C1750/100/(DATE(YEAR(A1750)+1,1,1)-DATE(YEAR(A1750),1,1)))</f>
        <v/>
      </c>
      <c r="F1750">
        <f>IF(A1750="",0,SUMIF(Rechner!$A$12:$A$21,A1750,Rechner!$B$12:$B$21))</f>
        <v/>
      </c>
      <c r="G1750">
        <f>H1749+E1750</f>
        <v/>
      </c>
      <c r="H1750">
        <f>G1750-MIN(F1750,G1750)</f>
        <v/>
      </c>
      <c r="I1750">
        <f>MIN(F1750-MIN(F1750,G1750),D1750)</f>
        <v/>
      </c>
      <c r="J1750">
        <f>D1750-I1750</f>
        <v/>
      </c>
      <c r="K1750">
        <f>F1750-MIN(F1750,G1750)-I1750</f>
        <v/>
      </c>
    </row>
    <row r="1751">
      <c r="A1751" s="21">
        <f>IF(Rechner!$E$4&lt;&gt;"ok","",IF(Rechner!$E$5+1749&lt;=Rechner!$B$6,Rechner!$E$5+1749,""))</f>
        <v/>
      </c>
      <c r="B1751">
        <f>IF(A1751="","",LOOKUP(A1751,Basiszins!$A$5:$A$18,Basiszins!$B$5:$B$18))</f>
        <v/>
      </c>
      <c r="C1751">
        <f>IF(A1751="","",B1751+Rechner!$E$7)</f>
        <v/>
      </c>
      <c r="D1751">
        <f>J1750</f>
        <v/>
      </c>
      <c r="E1751">
        <f>IF(A1751="",0,D1751*C1751/100/(DATE(YEAR(A1751)+1,1,1)-DATE(YEAR(A1751),1,1)))</f>
        <v/>
      </c>
      <c r="F1751">
        <f>IF(A1751="",0,SUMIF(Rechner!$A$12:$A$21,A1751,Rechner!$B$12:$B$21))</f>
        <v/>
      </c>
      <c r="G1751">
        <f>H1750+E1751</f>
        <v/>
      </c>
      <c r="H1751">
        <f>G1751-MIN(F1751,G1751)</f>
        <v/>
      </c>
      <c r="I1751">
        <f>MIN(F1751-MIN(F1751,G1751),D1751)</f>
        <v/>
      </c>
      <c r="J1751">
        <f>D1751-I1751</f>
        <v/>
      </c>
      <c r="K1751">
        <f>F1751-MIN(F1751,G1751)-I1751</f>
        <v/>
      </c>
    </row>
    <row r="1752">
      <c r="A1752" s="21">
        <f>IF(Rechner!$E$4&lt;&gt;"ok","",IF(Rechner!$E$5+1750&lt;=Rechner!$B$6,Rechner!$E$5+1750,""))</f>
        <v/>
      </c>
      <c r="B1752">
        <f>IF(A1752="","",LOOKUP(A1752,Basiszins!$A$5:$A$18,Basiszins!$B$5:$B$18))</f>
        <v/>
      </c>
      <c r="C1752">
        <f>IF(A1752="","",B1752+Rechner!$E$7)</f>
        <v/>
      </c>
      <c r="D1752">
        <f>J1751</f>
        <v/>
      </c>
      <c r="E1752">
        <f>IF(A1752="",0,D1752*C1752/100/(DATE(YEAR(A1752)+1,1,1)-DATE(YEAR(A1752),1,1)))</f>
        <v/>
      </c>
      <c r="F1752">
        <f>IF(A1752="",0,SUMIF(Rechner!$A$12:$A$21,A1752,Rechner!$B$12:$B$21))</f>
        <v/>
      </c>
      <c r="G1752">
        <f>H1751+E1752</f>
        <v/>
      </c>
      <c r="H1752">
        <f>G1752-MIN(F1752,G1752)</f>
        <v/>
      </c>
      <c r="I1752">
        <f>MIN(F1752-MIN(F1752,G1752),D1752)</f>
        <v/>
      </c>
      <c r="J1752">
        <f>D1752-I1752</f>
        <v/>
      </c>
      <c r="K1752">
        <f>F1752-MIN(F1752,G1752)-I1752</f>
        <v/>
      </c>
    </row>
    <row r="1753">
      <c r="A1753" s="21">
        <f>IF(Rechner!$E$4&lt;&gt;"ok","",IF(Rechner!$E$5+1751&lt;=Rechner!$B$6,Rechner!$E$5+1751,""))</f>
        <v/>
      </c>
      <c r="B1753">
        <f>IF(A1753="","",LOOKUP(A1753,Basiszins!$A$5:$A$18,Basiszins!$B$5:$B$18))</f>
        <v/>
      </c>
      <c r="C1753">
        <f>IF(A1753="","",B1753+Rechner!$E$7)</f>
        <v/>
      </c>
      <c r="D1753">
        <f>J1752</f>
        <v/>
      </c>
      <c r="E1753">
        <f>IF(A1753="",0,D1753*C1753/100/(DATE(YEAR(A1753)+1,1,1)-DATE(YEAR(A1753),1,1)))</f>
        <v/>
      </c>
      <c r="F1753">
        <f>IF(A1753="",0,SUMIF(Rechner!$A$12:$A$21,A1753,Rechner!$B$12:$B$21))</f>
        <v/>
      </c>
      <c r="G1753">
        <f>H1752+E1753</f>
        <v/>
      </c>
      <c r="H1753">
        <f>G1753-MIN(F1753,G1753)</f>
        <v/>
      </c>
      <c r="I1753">
        <f>MIN(F1753-MIN(F1753,G1753),D1753)</f>
        <v/>
      </c>
      <c r="J1753">
        <f>D1753-I1753</f>
        <v/>
      </c>
      <c r="K1753">
        <f>F1753-MIN(F1753,G1753)-I1753</f>
        <v/>
      </c>
    </row>
    <row r="1754">
      <c r="A1754" s="21">
        <f>IF(Rechner!$E$4&lt;&gt;"ok","",IF(Rechner!$E$5+1752&lt;=Rechner!$B$6,Rechner!$E$5+1752,""))</f>
        <v/>
      </c>
      <c r="B1754">
        <f>IF(A1754="","",LOOKUP(A1754,Basiszins!$A$5:$A$18,Basiszins!$B$5:$B$18))</f>
        <v/>
      </c>
      <c r="C1754">
        <f>IF(A1754="","",B1754+Rechner!$E$7)</f>
        <v/>
      </c>
      <c r="D1754">
        <f>J1753</f>
        <v/>
      </c>
      <c r="E1754">
        <f>IF(A1754="",0,D1754*C1754/100/(DATE(YEAR(A1754)+1,1,1)-DATE(YEAR(A1754),1,1)))</f>
        <v/>
      </c>
      <c r="F1754">
        <f>IF(A1754="",0,SUMIF(Rechner!$A$12:$A$21,A1754,Rechner!$B$12:$B$21))</f>
        <v/>
      </c>
      <c r="G1754">
        <f>H1753+E1754</f>
        <v/>
      </c>
      <c r="H1754">
        <f>G1754-MIN(F1754,G1754)</f>
        <v/>
      </c>
      <c r="I1754">
        <f>MIN(F1754-MIN(F1754,G1754),D1754)</f>
        <v/>
      </c>
      <c r="J1754">
        <f>D1754-I1754</f>
        <v/>
      </c>
      <c r="K1754">
        <f>F1754-MIN(F1754,G1754)-I1754</f>
        <v/>
      </c>
    </row>
    <row r="1755">
      <c r="A1755" s="21">
        <f>IF(Rechner!$E$4&lt;&gt;"ok","",IF(Rechner!$E$5+1753&lt;=Rechner!$B$6,Rechner!$E$5+1753,""))</f>
        <v/>
      </c>
      <c r="B1755">
        <f>IF(A1755="","",LOOKUP(A1755,Basiszins!$A$5:$A$18,Basiszins!$B$5:$B$18))</f>
        <v/>
      </c>
      <c r="C1755">
        <f>IF(A1755="","",B1755+Rechner!$E$7)</f>
        <v/>
      </c>
      <c r="D1755">
        <f>J1754</f>
        <v/>
      </c>
      <c r="E1755">
        <f>IF(A1755="",0,D1755*C1755/100/(DATE(YEAR(A1755)+1,1,1)-DATE(YEAR(A1755),1,1)))</f>
        <v/>
      </c>
      <c r="F1755">
        <f>IF(A1755="",0,SUMIF(Rechner!$A$12:$A$21,A1755,Rechner!$B$12:$B$21))</f>
        <v/>
      </c>
      <c r="G1755">
        <f>H1754+E1755</f>
        <v/>
      </c>
      <c r="H1755">
        <f>G1755-MIN(F1755,G1755)</f>
        <v/>
      </c>
      <c r="I1755">
        <f>MIN(F1755-MIN(F1755,G1755),D1755)</f>
        <v/>
      </c>
      <c r="J1755">
        <f>D1755-I1755</f>
        <v/>
      </c>
      <c r="K1755">
        <f>F1755-MIN(F1755,G1755)-I1755</f>
        <v/>
      </c>
    </row>
    <row r="1756">
      <c r="A1756" s="21">
        <f>IF(Rechner!$E$4&lt;&gt;"ok","",IF(Rechner!$E$5+1754&lt;=Rechner!$B$6,Rechner!$E$5+1754,""))</f>
        <v/>
      </c>
      <c r="B1756">
        <f>IF(A1756="","",LOOKUP(A1756,Basiszins!$A$5:$A$18,Basiszins!$B$5:$B$18))</f>
        <v/>
      </c>
      <c r="C1756">
        <f>IF(A1756="","",B1756+Rechner!$E$7)</f>
        <v/>
      </c>
      <c r="D1756">
        <f>J1755</f>
        <v/>
      </c>
      <c r="E1756">
        <f>IF(A1756="",0,D1756*C1756/100/(DATE(YEAR(A1756)+1,1,1)-DATE(YEAR(A1756),1,1)))</f>
        <v/>
      </c>
      <c r="F1756">
        <f>IF(A1756="",0,SUMIF(Rechner!$A$12:$A$21,A1756,Rechner!$B$12:$B$21))</f>
        <v/>
      </c>
      <c r="G1756">
        <f>H1755+E1756</f>
        <v/>
      </c>
      <c r="H1756">
        <f>G1756-MIN(F1756,G1756)</f>
        <v/>
      </c>
      <c r="I1756">
        <f>MIN(F1756-MIN(F1756,G1756),D1756)</f>
        <v/>
      </c>
      <c r="J1756">
        <f>D1756-I1756</f>
        <v/>
      </c>
      <c r="K1756">
        <f>F1756-MIN(F1756,G1756)-I1756</f>
        <v/>
      </c>
    </row>
    <row r="1757">
      <c r="A1757" s="21">
        <f>IF(Rechner!$E$4&lt;&gt;"ok","",IF(Rechner!$E$5+1755&lt;=Rechner!$B$6,Rechner!$E$5+1755,""))</f>
        <v/>
      </c>
      <c r="B1757">
        <f>IF(A1757="","",LOOKUP(A1757,Basiszins!$A$5:$A$18,Basiszins!$B$5:$B$18))</f>
        <v/>
      </c>
      <c r="C1757">
        <f>IF(A1757="","",B1757+Rechner!$E$7)</f>
        <v/>
      </c>
      <c r="D1757">
        <f>J1756</f>
        <v/>
      </c>
      <c r="E1757">
        <f>IF(A1757="",0,D1757*C1757/100/(DATE(YEAR(A1757)+1,1,1)-DATE(YEAR(A1757),1,1)))</f>
        <v/>
      </c>
      <c r="F1757">
        <f>IF(A1757="",0,SUMIF(Rechner!$A$12:$A$21,A1757,Rechner!$B$12:$B$21))</f>
        <v/>
      </c>
      <c r="G1757">
        <f>H1756+E1757</f>
        <v/>
      </c>
      <c r="H1757">
        <f>G1757-MIN(F1757,G1757)</f>
        <v/>
      </c>
      <c r="I1757">
        <f>MIN(F1757-MIN(F1757,G1757),D1757)</f>
        <v/>
      </c>
      <c r="J1757">
        <f>D1757-I1757</f>
        <v/>
      </c>
      <c r="K1757">
        <f>F1757-MIN(F1757,G1757)-I1757</f>
        <v/>
      </c>
    </row>
    <row r="1758">
      <c r="A1758" s="21">
        <f>IF(Rechner!$E$4&lt;&gt;"ok","",IF(Rechner!$E$5+1756&lt;=Rechner!$B$6,Rechner!$E$5+1756,""))</f>
        <v/>
      </c>
      <c r="B1758">
        <f>IF(A1758="","",LOOKUP(A1758,Basiszins!$A$5:$A$18,Basiszins!$B$5:$B$18))</f>
        <v/>
      </c>
      <c r="C1758">
        <f>IF(A1758="","",B1758+Rechner!$E$7)</f>
        <v/>
      </c>
      <c r="D1758">
        <f>J1757</f>
        <v/>
      </c>
      <c r="E1758">
        <f>IF(A1758="",0,D1758*C1758/100/(DATE(YEAR(A1758)+1,1,1)-DATE(YEAR(A1758),1,1)))</f>
        <v/>
      </c>
      <c r="F1758">
        <f>IF(A1758="",0,SUMIF(Rechner!$A$12:$A$21,A1758,Rechner!$B$12:$B$21))</f>
        <v/>
      </c>
      <c r="G1758">
        <f>H1757+E1758</f>
        <v/>
      </c>
      <c r="H1758">
        <f>G1758-MIN(F1758,G1758)</f>
        <v/>
      </c>
      <c r="I1758">
        <f>MIN(F1758-MIN(F1758,G1758),D1758)</f>
        <v/>
      </c>
      <c r="J1758">
        <f>D1758-I1758</f>
        <v/>
      </c>
      <c r="K1758">
        <f>F1758-MIN(F1758,G1758)-I1758</f>
        <v/>
      </c>
    </row>
    <row r="1759">
      <c r="A1759" s="21">
        <f>IF(Rechner!$E$4&lt;&gt;"ok","",IF(Rechner!$E$5+1757&lt;=Rechner!$B$6,Rechner!$E$5+1757,""))</f>
        <v/>
      </c>
      <c r="B1759">
        <f>IF(A1759="","",LOOKUP(A1759,Basiszins!$A$5:$A$18,Basiszins!$B$5:$B$18))</f>
        <v/>
      </c>
      <c r="C1759">
        <f>IF(A1759="","",B1759+Rechner!$E$7)</f>
        <v/>
      </c>
      <c r="D1759">
        <f>J1758</f>
        <v/>
      </c>
      <c r="E1759">
        <f>IF(A1759="",0,D1759*C1759/100/(DATE(YEAR(A1759)+1,1,1)-DATE(YEAR(A1759),1,1)))</f>
        <v/>
      </c>
      <c r="F1759">
        <f>IF(A1759="",0,SUMIF(Rechner!$A$12:$A$21,A1759,Rechner!$B$12:$B$21))</f>
        <v/>
      </c>
      <c r="G1759">
        <f>H1758+E1759</f>
        <v/>
      </c>
      <c r="H1759">
        <f>G1759-MIN(F1759,G1759)</f>
        <v/>
      </c>
      <c r="I1759">
        <f>MIN(F1759-MIN(F1759,G1759),D1759)</f>
        <v/>
      </c>
      <c r="J1759">
        <f>D1759-I1759</f>
        <v/>
      </c>
      <c r="K1759">
        <f>F1759-MIN(F1759,G1759)-I1759</f>
        <v/>
      </c>
    </row>
    <row r="1760">
      <c r="A1760" s="21">
        <f>IF(Rechner!$E$4&lt;&gt;"ok","",IF(Rechner!$E$5+1758&lt;=Rechner!$B$6,Rechner!$E$5+1758,""))</f>
        <v/>
      </c>
      <c r="B1760">
        <f>IF(A1760="","",LOOKUP(A1760,Basiszins!$A$5:$A$18,Basiszins!$B$5:$B$18))</f>
        <v/>
      </c>
      <c r="C1760">
        <f>IF(A1760="","",B1760+Rechner!$E$7)</f>
        <v/>
      </c>
      <c r="D1760">
        <f>J1759</f>
        <v/>
      </c>
      <c r="E1760">
        <f>IF(A1760="",0,D1760*C1760/100/(DATE(YEAR(A1760)+1,1,1)-DATE(YEAR(A1760),1,1)))</f>
        <v/>
      </c>
      <c r="F1760">
        <f>IF(A1760="",0,SUMIF(Rechner!$A$12:$A$21,A1760,Rechner!$B$12:$B$21))</f>
        <v/>
      </c>
      <c r="G1760">
        <f>H1759+E1760</f>
        <v/>
      </c>
      <c r="H1760">
        <f>G1760-MIN(F1760,G1760)</f>
        <v/>
      </c>
      <c r="I1760">
        <f>MIN(F1760-MIN(F1760,G1760),D1760)</f>
        <v/>
      </c>
      <c r="J1760">
        <f>D1760-I1760</f>
        <v/>
      </c>
      <c r="K1760">
        <f>F1760-MIN(F1760,G1760)-I1760</f>
        <v/>
      </c>
    </row>
    <row r="1761">
      <c r="A1761" s="21">
        <f>IF(Rechner!$E$4&lt;&gt;"ok","",IF(Rechner!$E$5+1759&lt;=Rechner!$B$6,Rechner!$E$5+1759,""))</f>
        <v/>
      </c>
      <c r="B1761">
        <f>IF(A1761="","",LOOKUP(A1761,Basiszins!$A$5:$A$18,Basiszins!$B$5:$B$18))</f>
        <v/>
      </c>
      <c r="C1761">
        <f>IF(A1761="","",B1761+Rechner!$E$7)</f>
        <v/>
      </c>
      <c r="D1761">
        <f>J1760</f>
        <v/>
      </c>
      <c r="E1761">
        <f>IF(A1761="",0,D1761*C1761/100/(DATE(YEAR(A1761)+1,1,1)-DATE(YEAR(A1761),1,1)))</f>
        <v/>
      </c>
      <c r="F1761">
        <f>IF(A1761="",0,SUMIF(Rechner!$A$12:$A$21,A1761,Rechner!$B$12:$B$21))</f>
        <v/>
      </c>
      <c r="G1761">
        <f>H1760+E1761</f>
        <v/>
      </c>
      <c r="H1761">
        <f>G1761-MIN(F1761,G1761)</f>
        <v/>
      </c>
      <c r="I1761">
        <f>MIN(F1761-MIN(F1761,G1761),D1761)</f>
        <v/>
      </c>
      <c r="J1761">
        <f>D1761-I1761</f>
        <v/>
      </c>
      <c r="K1761">
        <f>F1761-MIN(F1761,G1761)-I1761</f>
        <v/>
      </c>
    </row>
    <row r="1762">
      <c r="A1762" s="21">
        <f>IF(Rechner!$E$4&lt;&gt;"ok","",IF(Rechner!$E$5+1760&lt;=Rechner!$B$6,Rechner!$E$5+1760,""))</f>
        <v/>
      </c>
      <c r="B1762">
        <f>IF(A1762="","",LOOKUP(A1762,Basiszins!$A$5:$A$18,Basiszins!$B$5:$B$18))</f>
        <v/>
      </c>
      <c r="C1762">
        <f>IF(A1762="","",B1762+Rechner!$E$7)</f>
        <v/>
      </c>
      <c r="D1762">
        <f>J1761</f>
        <v/>
      </c>
      <c r="E1762">
        <f>IF(A1762="",0,D1762*C1762/100/(DATE(YEAR(A1762)+1,1,1)-DATE(YEAR(A1762),1,1)))</f>
        <v/>
      </c>
      <c r="F1762">
        <f>IF(A1762="",0,SUMIF(Rechner!$A$12:$A$21,A1762,Rechner!$B$12:$B$21))</f>
        <v/>
      </c>
      <c r="G1762">
        <f>H1761+E1762</f>
        <v/>
      </c>
      <c r="H1762">
        <f>G1762-MIN(F1762,G1762)</f>
        <v/>
      </c>
      <c r="I1762">
        <f>MIN(F1762-MIN(F1762,G1762),D1762)</f>
        <v/>
      </c>
      <c r="J1762">
        <f>D1762-I1762</f>
        <v/>
      </c>
      <c r="K1762">
        <f>F1762-MIN(F1762,G1762)-I1762</f>
        <v/>
      </c>
    </row>
    <row r="1763">
      <c r="A1763" s="21">
        <f>IF(Rechner!$E$4&lt;&gt;"ok","",IF(Rechner!$E$5+1761&lt;=Rechner!$B$6,Rechner!$E$5+1761,""))</f>
        <v/>
      </c>
      <c r="B1763">
        <f>IF(A1763="","",LOOKUP(A1763,Basiszins!$A$5:$A$18,Basiszins!$B$5:$B$18))</f>
        <v/>
      </c>
      <c r="C1763">
        <f>IF(A1763="","",B1763+Rechner!$E$7)</f>
        <v/>
      </c>
      <c r="D1763">
        <f>J1762</f>
        <v/>
      </c>
      <c r="E1763">
        <f>IF(A1763="",0,D1763*C1763/100/(DATE(YEAR(A1763)+1,1,1)-DATE(YEAR(A1763),1,1)))</f>
        <v/>
      </c>
      <c r="F1763">
        <f>IF(A1763="",0,SUMIF(Rechner!$A$12:$A$21,A1763,Rechner!$B$12:$B$21))</f>
        <v/>
      </c>
      <c r="G1763">
        <f>H1762+E1763</f>
        <v/>
      </c>
      <c r="H1763">
        <f>G1763-MIN(F1763,G1763)</f>
        <v/>
      </c>
      <c r="I1763">
        <f>MIN(F1763-MIN(F1763,G1763),D1763)</f>
        <v/>
      </c>
      <c r="J1763">
        <f>D1763-I1763</f>
        <v/>
      </c>
      <c r="K1763">
        <f>F1763-MIN(F1763,G1763)-I1763</f>
        <v/>
      </c>
    </row>
    <row r="1764">
      <c r="A1764" s="21">
        <f>IF(Rechner!$E$4&lt;&gt;"ok","",IF(Rechner!$E$5+1762&lt;=Rechner!$B$6,Rechner!$E$5+1762,""))</f>
        <v/>
      </c>
      <c r="B1764">
        <f>IF(A1764="","",LOOKUP(A1764,Basiszins!$A$5:$A$18,Basiszins!$B$5:$B$18))</f>
        <v/>
      </c>
      <c r="C1764">
        <f>IF(A1764="","",B1764+Rechner!$E$7)</f>
        <v/>
      </c>
      <c r="D1764">
        <f>J1763</f>
        <v/>
      </c>
      <c r="E1764">
        <f>IF(A1764="",0,D1764*C1764/100/(DATE(YEAR(A1764)+1,1,1)-DATE(YEAR(A1764),1,1)))</f>
        <v/>
      </c>
      <c r="F1764">
        <f>IF(A1764="",0,SUMIF(Rechner!$A$12:$A$21,A1764,Rechner!$B$12:$B$21))</f>
        <v/>
      </c>
      <c r="G1764">
        <f>H1763+E1764</f>
        <v/>
      </c>
      <c r="H1764">
        <f>G1764-MIN(F1764,G1764)</f>
        <v/>
      </c>
      <c r="I1764">
        <f>MIN(F1764-MIN(F1764,G1764),D1764)</f>
        <v/>
      </c>
      <c r="J1764">
        <f>D1764-I1764</f>
        <v/>
      </c>
      <c r="K1764">
        <f>F1764-MIN(F1764,G1764)-I1764</f>
        <v/>
      </c>
    </row>
    <row r="1765">
      <c r="A1765" s="21">
        <f>IF(Rechner!$E$4&lt;&gt;"ok","",IF(Rechner!$E$5+1763&lt;=Rechner!$B$6,Rechner!$E$5+1763,""))</f>
        <v/>
      </c>
      <c r="B1765">
        <f>IF(A1765="","",LOOKUP(A1765,Basiszins!$A$5:$A$18,Basiszins!$B$5:$B$18))</f>
        <v/>
      </c>
      <c r="C1765">
        <f>IF(A1765="","",B1765+Rechner!$E$7)</f>
        <v/>
      </c>
      <c r="D1765">
        <f>J1764</f>
        <v/>
      </c>
      <c r="E1765">
        <f>IF(A1765="",0,D1765*C1765/100/(DATE(YEAR(A1765)+1,1,1)-DATE(YEAR(A1765),1,1)))</f>
        <v/>
      </c>
      <c r="F1765">
        <f>IF(A1765="",0,SUMIF(Rechner!$A$12:$A$21,A1765,Rechner!$B$12:$B$21))</f>
        <v/>
      </c>
      <c r="G1765">
        <f>H1764+E1765</f>
        <v/>
      </c>
      <c r="H1765">
        <f>G1765-MIN(F1765,G1765)</f>
        <v/>
      </c>
      <c r="I1765">
        <f>MIN(F1765-MIN(F1765,G1765),D1765)</f>
        <v/>
      </c>
      <c r="J1765">
        <f>D1765-I1765</f>
        <v/>
      </c>
      <c r="K1765">
        <f>F1765-MIN(F1765,G1765)-I1765</f>
        <v/>
      </c>
    </row>
    <row r="1766">
      <c r="A1766" s="21">
        <f>IF(Rechner!$E$4&lt;&gt;"ok","",IF(Rechner!$E$5+1764&lt;=Rechner!$B$6,Rechner!$E$5+1764,""))</f>
        <v/>
      </c>
      <c r="B1766">
        <f>IF(A1766="","",LOOKUP(A1766,Basiszins!$A$5:$A$18,Basiszins!$B$5:$B$18))</f>
        <v/>
      </c>
      <c r="C1766">
        <f>IF(A1766="","",B1766+Rechner!$E$7)</f>
        <v/>
      </c>
      <c r="D1766">
        <f>J1765</f>
        <v/>
      </c>
      <c r="E1766">
        <f>IF(A1766="",0,D1766*C1766/100/(DATE(YEAR(A1766)+1,1,1)-DATE(YEAR(A1766),1,1)))</f>
        <v/>
      </c>
      <c r="F1766">
        <f>IF(A1766="",0,SUMIF(Rechner!$A$12:$A$21,A1766,Rechner!$B$12:$B$21))</f>
        <v/>
      </c>
      <c r="G1766">
        <f>H1765+E1766</f>
        <v/>
      </c>
      <c r="H1766">
        <f>G1766-MIN(F1766,G1766)</f>
        <v/>
      </c>
      <c r="I1766">
        <f>MIN(F1766-MIN(F1766,G1766),D1766)</f>
        <v/>
      </c>
      <c r="J1766">
        <f>D1766-I1766</f>
        <v/>
      </c>
      <c r="K1766">
        <f>F1766-MIN(F1766,G1766)-I1766</f>
        <v/>
      </c>
    </row>
    <row r="1767">
      <c r="A1767" s="21">
        <f>IF(Rechner!$E$4&lt;&gt;"ok","",IF(Rechner!$E$5+1765&lt;=Rechner!$B$6,Rechner!$E$5+1765,""))</f>
        <v/>
      </c>
      <c r="B1767">
        <f>IF(A1767="","",LOOKUP(A1767,Basiszins!$A$5:$A$18,Basiszins!$B$5:$B$18))</f>
        <v/>
      </c>
      <c r="C1767">
        <f>IF(A1767="","",B1767+Rechner!$E$7)</f>
        <v/>
      </c>
      <c r="D1767">
        <f>J1766</f>
        <v/>
      </c>
      <c r="E1767">
        <f>IF(A1767="",0,D1767*C1767/100/(DATE(YEAR(A1767)+1,1,1)-DATE(YEAR(A1767),1,1)))</f>
        <v/>
      </c>
      <c r="F1767">
        <f>IF(A1767="",0,SUMIF(Rechner!$A$12:$A$21,A1767,Rechner!$B$12:$B$21))</f>
        <v/>
      </c>
      <c r="G1767">
        <f>H1766+E1767</f>
        <v/>
      </c>
      <c r="H1767">
        <f>G1767-MIN(F1767,G1767)</f>
        <v/>
      </c>
      <c r="I1767">
        <f>MIN(F1767-MIN(F1767,G1767),D1767)</f>
        <v/>
      </c>
      <c r="J1767">
        <f>D1767-I1767</f>
        <v/>
      </c>
      <c r="K1767">
        <f>F1767-MIN(F1767,G1767)-I1767</f>
        <v/>
      </c>
    </row>
    <row r="1768">
      <c r="A1768" s="21">
        <f>IF(Rechner!$E$4&lt;&gt;"ok","",IF(Rechner!$E$5+1766&lt;=Rechner!$B$6,Rechner!$E$5+1766,""))</f>
        <v/>
      </c>
      <c r="B1768">
        <f>IF(A1768="","",LOOKUP(A1768,Basiszins!$A$5:$A$18,Basiszins!$B$5:$B$18))</f>
        <v/>
      </c>
      <c r="C1768">
        <f>IF(A1768="","",B1768+Rechner!$E$7)</f>
        <v/>
      </c>
      <c r="D1768">
        <f>J1767</f>
        <v/>
      </c>
      <c r="E1768">
        <f>IF(A1768="",0,D1768*C1768/100/(DATE(YEAR(A1768)+1,1,1)-DATE(YEAR(A1768),1,1)))</f>
        <v/>
      </c>
      <c r="F1768">
        <f>IF(A1768="",0,SUMIF(Rechner!$A$12:$A$21,A1768,Rechner!$B$12:$B$21))</f>
        <v/>
      </c>
      <c r="G1768">
        <f>H1767+E1768</f>
        <v/>
      </c>
      <c r="H1768">
        <f>G1768-MIN(F1768,G1768)</f>
        <v/>
      </c>
      <c r="I1768">
        <f>MIN(F1768-MIN(F1768,G1768),D1768)</f>
        <v/>
      </c>
      <c r="J1768">
        <f>D1768-I1768</f>
        <v/>
      </c>
      <c r="K1768">
        <f>F1768-MIN(F1768,G1768)-I1768</f>
        <v/>
      </c>
    </row>
    <row r="1769">
      <c r="A1769" s="21">
        <f>IF(Rechner!$E$4&lt;&gt;"ok","",IF(Rechner!$E$5+1767&lt;=Rechner!$B$6,Rechner!$E$5+1767,""))</f>
        <v/>
      </c>
      <c r="B1769">
        <f>IF(A1769="","",LOOKUP(A1769,Basiszins!$A$5:$A$18,Basiszins!$B$5:$B$18))</f>
        <v/>
      </c>
      <c r="C1769">
        <f>IF(A1769="","",B1769+Rechner!$E$7)</f>
        <v/>
      </c>
      <c r="D1769">
        <f>J1768</f>
        <v/>
      </c>
      <c r="E1769">
        <f>IF(A1769="",0,D1769*C1769/100/(DATE(YEAR(A1769)+1,1,1)-DATE(YEAR(A1769),1,1)))</f>
        <v/>
      </c>
      <c r="F1769">
        <f>IF(A1769="",0,SUMIF(Rechner!$A$12:$A$21,A1769,Rechner!$B$12:$B$21))</f>
        <v/>
      </c>
      <c r="G1769">
        <f>H1768+E1769</f>
        <v/>
      </c>
      <c r="H1769">
        <f>G1769-MIN(F1769,G1769)</f>
        <v/>
      </c>
      <c r="I1769">
        <f>MIN(F1769-MIN(F1769,G1769),D1769)</f>
        <v/>
      </c>
      <c r="J1769">
        <f>D1769-I1769</f>
        <v/>
      </c>
      <c r="K1769">
        <f>F1769-MIN(F1769,G1769)-I1769</f>
        <v/>
      </c>
    </row>
    <row r="1770">
      <c r="A1770" s="21">
        <f>IF(Rechner!$E$4&lt;&gt;"ok","",IF(Rechner!$E$5+1768&lt;=Rechner!$B$6,Rechner!$E$5+1768,""))</f>
        <v/>
      </c>
      <c r="B1770">
        <f>IF(A1770="","",LOOKUP(A1770,Basiszins!$A$5:$A$18,Basiszins!$B$5:$B$18))</f>
        <v/>
      </c>
      <c r="C1770">
        <f>IF(A1770="","",B1770+Rechner!$E$7)</f>
        <v/>
      </c>
      <c r="D1770">
        <f>J1769</f>
        <v/>
      </c>
      <c r="E1770">
        <f>IF(A1770="",0,D1770*C1770/100/(DATE(YEAR(A1770)+1,1,1)-DATE(YEAR(A1770),1,1)))</f>
        <v/>
      </c>
      <c r="F1770">
        <f>IF(A1770="",0,SUMIF(Rechner!$A$12:$A$21,A1770,Rechner!$B$12:$B$21))</f>
        <v/>
      </c>
      <c r="G1770">
        <f>H1769+E1770</f>
        <v/>
      </c>
      <c r="H1770">
        <f>G1770-MIN(F1770,G1770)</f>
        <v/>
      </c>
      <c r="I1770">
        <f>MIN(F1770-MIN(F1770,G1770),D1770)</f>
        <v/>
      </c>
      <c r="J1770">
        <f>D1770-I1770</f>
        <v/>
      </c>
      <c r="K1770">
        <f>F1770-MIN(F1770,G1770)-I1770</f>
        <v/>
      </c>
    </row>
    <row r="1771">
      <c r="A1771" s="21">
        <f>IF(Rechner!$E$4&lt;&gt;"ok","",IF(Rechner!$E$5+1769&lt;=Rechner!$B$6,Rechner!$E$5+1769,""))</f>
        <v/>
      </c>
      <c r="B1771">
        <f>IF(A1771="","",LOOKUP(A1771,Basiszins!$A$5:$A$18,Basiszins!$B$5:$B$18))</f>
        <v/>
      </c>
      <c r="C1771">
        <f>IF(A1771="","",B1771+Rechner!$E$7)</f>
        <v/>
      </c>
      <c r="D1771">
        <f>J1770</f>
        <v/>
      </c>
      <c r="E1771">
        <f>IF(A1771="",0,D1771*C1771/100/(DATE(YEAR(A1771)+1,1,1)-DATE(YEAR(A1771),1,1)))</f>
        <v/>
      </c>
      <c r="F1771">
        <f>IF(A1771="",0,SUMIF(Rechner!$A$12:$A$21,A1771,Rechner!$B$12:$B$21))</f>
        <v/>
      </c>
      <c r="G1771">
        <f>H1770+E1771</f>
        <v/>
      </c>
      <c r="H1771">
        <f>G1771-MIN(F1771,G1771)</f>
        <v/>
      </c>
      <c r="I1771">
        <f>MIN(F1771-MIN(F1771,G1771),D1771)</f>
        <v/>
      </c>
      <c r="J1771">
        <f>D1771-I1771</f>
        <v/>
      </c>
      <c r="K1771">
        <f>F1771-MIN(F1771,G1771)-I1771</f>
        <v/>
      </c>
    </row>
    <row r="1772">
      <c r="A1772" s="21">
        <f>IF(Rechner!$E$4&lt;&gt;"ok","",IF(Rechner!$E$5+1770&lt;=Rechner!$B$6,Rechner!$E$5+1770,""))</f>
        <v/>
      </c>
      <c r="B1772">
        <f>IF(A1772="","",LOOKUP(A1772,Basiszins!$A$5:$A$18,Basiszins!$B$5:$B$18))</f>
        <v/>
      </c>
      <c r="C1772">
        <f>IF(A1772="","",B1772+Rechner!$E$7)</f>
        <v/>
      </c>
      <c r="D1772">
        <f>J1771</f>
        <v/>
      </c>
      <c r="E1772">
        <f>IF(A1772="",0,D1772*C1772/100/(DATE(YEAR(A1772)+1,1,1)-DATE(YEAR(A1772),1,1)))</f>
        <v/>
      </c>
      <c r="F1772">
        <f>IF(A1772="",0,SUMIF(Rechner!$A$12:$A$21,A1772,Rechner!$B$12:$B$21))</f>
        <v/>
      </c>
      <c r="G1772">
        <f>H1771+E1772</f>
        <v/>
      </c>
      <c r="H1772">
        <f>G1772-MIN(F1772,G1772)</f>
        <v/>
      </c>
      <c r="I1772">
        <f>MIN(F1772-MIN(F1772,G1772),D1772)</f>
        <v/>
      </c>
      <c r="J1772">
        <f>D1772-I1772</f>
        <v/>
      </c>
      <c r="K1772">
        <f>F1772-MIN(F1772,G1772)-I1772</f>
        <v/>
      </c>
    </row>
    <row r="1773">
      <c r="A1773" s="21">
        <f>IF(Rechner!$E$4&lt;&gt;"ok","",IF(Rechner!$E$5+1771&lt;=Rechner!$B$6,Rechner!$E$5+1771,""))</f>
        <v/>
      </c>
      <c r="B1773">
        <f>IF(A1773="","",LOOKUP(A1773,Basiszins!$A$5:$A$18,Basiszins!$B$5:$B$18))</f>
        <v/>
      </c>
      <c r="C1773">
        <f>IF(A1773="","",B1773+Rechner!$E$7)</f>
        <v/>
      </c>
      <c r="D1773">
        <f>J1772</f>
        <v/>
      </c>
      <c r="E1773">
        <f>IF(A1773="",0,D1773*C1773/100/(DATE(YEAR(A1773)+1,1,1)-DATE(YEAR(A1773),1,1)))</f>
        <v/>
      </c>
      <c r="F1773">
        <f>IF(A1773="",0,SUMIF(Rechner!$A$12:$A$21,A1773,Rechner!$B$12:$B$21))</f>
        <v/>
      </c>
      <c r="G1773">
        <f>H1772+E1773</f>
        <v/>
      </c>
      <c r="H1773">
        <f>G1773-MIN(F1773,G1773)</f>
        <v/>
      </c>
      <c r="I1773">
        <f>MIN(F1773-MIN(F1773,G1773),D1773)</f>
        <v/>
      </c>
      <c r="J1773">
        <f>D1773-I1773</f>
        <v/>
      </c>
      <c r="K1773">
        <f>F1773-MIN(F1773,G1773)-I1773</f>
        <v/>
      </c>
    </row>
    <row r="1774">
      <c r="A1774" s="21">
        <f>IF(Rechner!$E$4&lt;&gt;"ok","",IF(Rechner!$E$5+1772&lt;=Rechner!$B$6,Rechner!$E$5+1772,""))</f>
        <v/>
      </c>
      <c r="B1774">
        <f>IF(A1774="","",LOOKUP(A1774,Basiszins!$A$5:$A$18,Basiszins!$B$5:$B$18))</f>
        <v/>
      </c>
      <c r="C1774">
        <f>IF(A1774="","",B1774+Rechner!$E$7)</f>
        <v/>
      </c>
      <c r="D1774">
        <f>J1773</f>
        <v/>
      </c>
      <c r="E1774">
        <f>IF(A1774="",0,D1774*C1774/100/(DATE(YEAR(A1774)+1,1,1)-DATE(YEAR(A1774),1,1)))</f>
        <v/>
      </c>
      <c r="F1774">
        <f>IF(A1774="",0,SUMIF(Rechner!$A$12:$A$21,A1774,Rechner!$B$12:$B$21))</f>
        <v/>
      </c>
      <c r="G1774">
        <f>H1773+E1774</f>
        <v/>
      </c>
      <c r="H1774">
        <f>G1774-MIN(F1774,G1774)</f>
        <v/>
      </c>
      <c r="I1774">
        <f>MIN(F1774-MIN(F1774,G1774),D1774)</f>
        <v/>
      </c>
      <c r="J1774">
        <f>D1774-I1774</f>
        <v/>
      </c>
      <c r="K1774">
        <f>F1774-MIN(F1774,G1774)-I1774</f>
        <v/>
      </c>
    </row>
    <row r="1775">
      <c r="A1775" s="21">
        <f>IF(Rechner!$E$4&lt;&gt;"ok","",IF(Rechner!$E$5+1773&lt;=Rechner!$B$6,Rechner!$E$5+1773,""))</f>
        <v/>
      </c>
      <c r="B1775">
        <f>IF(A1775="","",LOOKUP(A1775,Basiszins!$A$5:$A$18,Basiszins!$B$5:$B$18))</f>
        <v/>
      </c>
      <c r="C1775">
        <f>IF(A1775="","",B1775+Rechner!$E$7)</f>
        <v/>
      </c>
      <c r="D1775">
        <f>J1774</f>
        <v/>
      </c>
      <c r="E1775">
        <f>IF(A1775="",0,D1775*C1775/100/(DATE(YEAR(A1775)+1,1,1)-DATE(YEAR(A1775),1,1)))</f>
        <v/>
      </c>
      <c r="F1775">
        <f>IF(A1775="",0,SUMIF(Rechner!$A$12:$A$21,A1775,Rechner!$B$12:$B$21))</f>
        <v/>
      </c>
      <c r="G1775">
        <f>H1774+E1775</f>
        <v/>
      </c>
      <c r="H1775">
        <f>G1775-MIN(F1775,G1775)</f>
        <v/>
      </c>
      <c r="I1775">
        <f>MIN(F1775-MIN(F1775,G1775),D1775)</f>
        <v/>
      </c>
      <c r="J1775">
        <f>D1775-I1775</f>
        <v/>
      </c>
      <c r="K1775">
        <f>F1775-MIN(F1775,G1775)-I1775</f>
        <v/>
      </c>
    </row>
    <row r="1776">
      <c r="A1776" s="21">
        <f>IF(Rechner!$E$4&lt;&gt;"ok","",IF(Rechner!$E$5+1774&lt;=Rechner!$B$6,Rechner!$E$5+1774,""))</f>
        <v/>
      </c>
      <c r="B1776">
        <f>IF(A1776="","",LOOKUP(A1776,Basiszins!$A$5:$A$18,Basiszins!$B$5:$B$18))</f>
        <v/>
      </c>
      <c r="C1776">
        <f>IF(A1776="","",B1776+Rechner!$E$7)</f>
        <v/>
      </c>
      <c r="D1776">
        <f>J1775</f>
        <v/>
      </c>
      <c r="E1776">
        <f>IF(A1776="",0,D1776*C1776/100/(DATE(YEAR(A1776)+1,1,1)-DATE(YEAR(A1776),1,1)))</f>
        <v/>
      </c>
      <c r="F1776">
        <f>IF(A1776="",0,SUMIF(Rechner!$A$12:$A$21,A1776,Rechner!$B$12:$B$21))</f>
        <v/>
      </c>
      <c r="G1776">
        <f>H1775+E1776</f>
        <v/>
      </c>
      <c r="H1776">
        <f>G1776-MIN(F1776,G1776)</f>
        <v/>
      </c>
      <c r="I1776">
        <f>MIN(F1776-MIN(F1776,G1776),D1776)</f>
        <v/>
      </c>
      <c r="J1776">
        <f>D1776-I1776</f>
        <v/>
      </c>
      <c r="K1776">
        <f>F1776-MIN(F1776,G1776)-I1776</f>
        <v/>
      </c>
    </row>
    <row r="1777">
      <c r="A1777" s="21">
        <f>IF(Rechner!$E$4&lt;&gt;"ok","",IF(Rechner!$E$5+1775&lt;=Rechner!$B$6,Rechner!$E$5+1775,""))</f>
        <v/>
      </c>
      <c r="B1777">
        <f>IF(A1777="","",LOOKUP(A1777,Basiszins!$A$5:$A$18,Basiszins!$B$5:$B$18))</f>
        <v/>
      </c>
      <c r="C1777">
        <f>IF(A1777="","",B1777+Rechner!$E$7)</f>
        <v/>
      </c>
      <c r="D1777">
        <f>J1776</f>
        <v/>
      </c>
      <c r="E1777">
        <f>IF(A1777="",0,D1777*C1777/100/(DATE(YEAR(A1777)+1,1,1)-DATE(YEAR(A1777),1,1)))</f>
        <v/>
      </c>
      <c r="F1777">
        <f>IF(A1777="",0,SUMIF(Rechner!$A$12:$A$21,A1777,Rechner!$B$12:$B$21))</f>
        <v/>
      </c>
      <c r="G1777">
        <f>H1776+E1777</f>
        <v/>
      </c>
      <c r="H1777">
        <f>G1777-MIN(F1777,G1777)</f>
        <v/>
      </c>
      <c r="I1777">
        <f>MIN(F1777-MIN(F1777,G1777),D1777)</f>
        <v/>
      </c>
      <c r="J1777">
        <f>D1777-I1777</f>
        <v/>
      </c>
      <c r="K1777">
        <f>F1777-MIN(F1777,G1777)-I1777</f>
        <v/>
      </c>
    </row>
    <row r="1778">
      <c r="A1778" s="21">
        <f>IF(Rechner!$E$4&lt;&gt;"ok","",IF(Rechner!$E$5+1776&lt;=Rechner!$B$6,Rechner!$E$5+1776,""))</f>
        <v/>
      </c>
      <c r="B1778">
        <f>IF(A1778="","",LOOKUP(A1778,Basiszins!$A$5:$A$18,Basiszins!$B$5:$B$18))</f>
        <v/>
      </c>
      <c r="C1778">
        <f>IF(A1778="","",B1778+Rechner!$E$7)</f>
        <v/>
      </c>
      <c r="D1778">
        <f>J1777</f>
        <v/>
      </c>
      <c r="E1778">
        <f>IF(A1778="",0,D1778*C1778/100/(DATE(YEAR(A1778)+1,1,1)-DATE(YEAR(A1778),1,1)))</f>
        <v/>
      </c>
      <c r="F1778">
        <f>IF(A1778="",0,SUMIF(Rechner!$A$12:$A$21,A1778,Rechner!$B$12:$B$21))</f>
        <v/>
      </c>
      <c r="G1778">
        <f>H1777+E1778</f>
        <v/>
      </c>
      <c r="H1778">
        <f>G1778-MIN(F1778,G1778)</f>
        <v/>
      </c>
      <c r="I1778">
        <f>MIN(F1778-MIN(F1778,G1778),D1778)</f>
        <v/>
      </c>
      <c r="J1778">
        <f>D1778-I1778</f>
        <v/>
      </c>
      <c r="K1778">
        <f>F1778-MIN(F1778,G1778)-I1778</f>
        <v/>
      </c>
    </row>
    <row r="1779">
      <c r="A1779" s="21">
        <f>IF(Rechner!$E$4&lt;&gt;"ok","",IF(Rechner!$E$5+1777&lt;=Rechner!$B$6,Rechner!$E$5+1777,""))</f>
        <v/>
      </c>
      <c r="B1779">
        <f>IF(A1779="","",LOOKUP(A1779,Basiszins!$A$5:$A$18,Basiszins!$B$5:$B$18))</f>
        <v/>
      </c>
      <c r="C1779">
        <f>IF(A1779="","",B1779+Rechner!$E$7)</f>
        <v/>
      </c>
      <c r="D1779">
        <f>J1778</f>
        <v/>
      </c>
      <c r="E1779">
        <f>IF(A1779="",0,D1779*C1779/100/(DATE(YEAR(A1779)+1,1,1)-DATE(YEAR(A1779),1,1)))</f>
        <v/>
      </c>
      <c r="F1779">
        <f>IF(A1779="",0,SUMIF(Rechner!$A$12:$A$21,A1779,Rechner!$B$12:$B$21))</f>
        <v/>
      </c>
      <c r="G1779">
        <f>H1778+E1779</f>
        <v/>
      </c>
      <c r="H1779">
        <f>G1779-MIN(F1779,G1779)</f>
        <v/>
      </c>
      <c r="I1779">
        <f>MIN(F1779-MIN(F1779,G1779),D1779)</f>
        <v/>
      </c>
      <c r="J1779">
        <f>D1779-I1779</f>
        <v/>
      </c>
      <c r="K1779">
        <f>F1779-MIN(F1779,G1779)-I1779</f>
        <v/>
      </c>
    </row>
    <row r="1780">
      <c r="A1780" s="21">
        <f>IF(Rechner!$E$4&lt;&gt;"ok","",IF(Rechner!$E$5+1778&lt;=Rechner!$B$6,Rechner!$E$5+1778,""))</f>
        <v/>
      </c>
      <c r="B1780">
        <f>IF(A1780="","",LOOKUP(A1780,Basiszins!$A$5:$A$18,Basiszins!$B$5:$B$18))</f>
        <v/>
      </c>
      <c r="C1780">
        <f>IF(A1780="","",B1780+Rechner!$E$7)</f>
        <v/>
      </c>
      <c r="D1780">
        <f>J1779</f>
        <v/>
      </c>
      <c r="E1780">
        <f>IF(A1780="",0,D1780*C1780/100/(DATE(YEAR(A1780)+1,1,1)-DATE(YEAR(A1780),1,1)))</f>
        <v/>
      </c>
      <c r="F1780">
        <f>IF(A1780="",0,SUMIF(Rechner!$A$12:$A$21,A1780,Rechner!$B$12:$B$21))</f>
        <v/>
      </c>
      <c r="G1780">
        <f>H1779+E1780</f>
        <v/>
      </c>
      <c r="H1780">
        <f>G1780-MIN(F1780,G1780)</f>
        <v/>
      </c>
      <c r="I1780">
        <f>MIN(F1780-MIN(F1780,G1780),D1780)</f>
        <v/>
      </c>
      <c r="J1780">
        <f>D1780-I1780</f>
        <v/>
      </c>
      <c r="K1780">
        <f>F1780-MIN(F1780,G1780)-I1780</f>
        <v/>
      </c>
    </row>
    <row r="1781">
      <c r="A1781" s="21">
        <f>IF(Rechner!$E$4&lt;&gt;"ok","",IF(Rechner!$E$5+1779&lt;=Rechner!$B$6,Rechner!$E$5+1779,""))</f>
        <v/>
      </c>
      <c r="B1781">
        <f>IF(A1781="","",LOOKUP(A1781,Basiszins!$A$5:$A$18,Basiszins!$B$5:$B$18))</f>
        <v/>
      </c>
      <c r="C1781">
        <f>IF(A1781="","",B1781+Rechner!$E$7)</f>
        <v/>
      </c>
      <c r="D1781">
        <f>J1780</f>
        <v/>
      </c>
      <c r="E1781">
        <f>IF(A1781="",0,D1781*C1781/100/(DATE(YEAR(A1781)+1,1,1)-DATE(YEAR(A1781),1,1)))</f>
        <v/>
      </c>
      <c r="F1781">
        <f>IF(A1781="",0,SUMIF(Rechner!$A$12:$A$21,A1781,Rechner!$B$12:$B$21))</f>
        <v/>
      </c>
      <c r="G1781">
        <f>H1780+E1781</f>
        <v/>
      </c>
      <c r="H1781">
        <f>G1781-MIN(F1781,G1781)</f>
        <v/>
      </c>
      <c r="I1781">
        <f>MIN(F1781-MIN(F1781,G1781),D1781)</f>
        <v/>
      </c>
      <c r="J1781">
        <f>D1781-I1781</f>
        <v/>
      </c>
      <c r="K1781">
        <f>F1781-MIN(F1781,G1781)-I1781</f>
        <v/>
      </c>
    </row>
    <row r="1782">
      <c r="A1782" s="21">
        <f>IF(Rechner!$E$4&lt;&gt;"ok","",IF(Rechner!$E$5+1780&lt;=Rechner!$B$6,Rechner!$E$5+1780,""))</f>
        <v/>
      </c>
      <c r="B1782">
        <f>IF(A1782="","",LOOKUP(A1782,Basiszins!$A$5:$A$18,Basiszins!$B$5:$B$18))</f>
        <v/>
      </c>
      <c r="C1782">
        <f>IF(A1782="","",B1782+Rechner!$E$7)</f>
        <v/>
      </c>
      <c r="D1782">
        <f>J1781</f>
        <v/>
      </c>
      <c r="E1782">
        <f>IF(A1782="",0,D1782*C1782/100/(DATE(YEAR(A1782)+1,1,1)-DATE(YEAR(A1782),1,1)))</f>
        <v/>
      </c>
      <c r="F1782">
        <f>IF(A1782="",0,SUMIF(Rechner!$A$12:$A$21,A1782,Rechner!$B$12:$B$21))</f>
        <v/>
      </c>
      <c r="G1782">
        <f>H1781+E1782</f>
        <v/>
      </c>
      <c r="H1782">
        <f>G1782-MIN(F1782,G1782)</f>
        <v/>
      </c>
      <c r="I1782">
        <f>MIN(F1782-MIN(F1782,G1782),D1782)</f>
        <v/>
      </c>
      <c r="J1782">
        <f>D1782-I1782</f>
        <v/>
      </c>
      <c r="K1782">
        <f>F1782-MIN(F1782,G1782)-I1782</f>
        <v/>
      </c>
    </row>
    <row r="1783">
      <c r="A1783" s="21">
        <f>IF(Rechner!$E$4&lt;&gt;"ok","",IF(Rechner!$E$5+1781&lt;=Rechner!$B$6,Rechner!$E$5+1781,""))</f>
        <v/>
      </c>
      <c r="B1783">
        <f>IF(A1783="","",LOOKUP(A1783,Basiszins!$A$5:$A$18,Basiszins!$B$5:$B$18))</f>
        <v/>
      </c>
      <c r="C1783">
        <f>IF(A1783="","",B1783+Rechner!$E$7)</f>
        <v/>
      </c>
      <c r="D1783">
        <f>J1782</f>
        <v/>
      </c>
      <c r="E1783">
        <f>IF(A1783="",0,D1783*C1783/100/(DATE(YEAR(A1783)+1,1,1)-DATE(YEAR(A1783),1,1)))</f>
        <v/>
      </c>
      <c r="F1783">
        <f>IF(A1783="",0,SUMIF(Rechner!$A$12:$A$21,A1783,Rechner!$B$12:$B$21))</f>
        <v/>
      </c>
      <c r="G1783">
        <f>H1782+E1783</f>
        <v/>
      </c>
      <c r="H1783">
        <f>G1783-MIN(F1783,G1783)</f>
        <v/>
      </c>
      <c r="I1783">
        <f>MIN(F1783-MIN(F1783,G1783),D1783)</f>
        <v/>
      </c>
      <c r="J1783">
        <f>D1783-I1783</f>
        <v/>
      </c>
      <c r="K1783">
        <f>F1783-MIN(F1783,G1783)-I1783</f>
        <v/>
      </c>
    </row>
    <row r="1784">
      <c r="A1784" s="21">
        <f>IF(Rechner!$E$4&lt;&gt;"ok","",IF(Rechner!$E$5+1782&lt;=Rechner!$B$6,Rechner!$E$5+1782,""))</f>
        <v/>
      </c>
      <c r="B1784">
        <f>IF(A1784="","",LOOKUP(A1784,Basiszins!$A$5:$A$18,Basiszins!$B$5:$B$18))</f>
        <v/>
      </c>
      <c r="C1784">
        <f>IF(A1784="","",B1784+Rechner!$E$7)</f>
        <v/>
      </c>
      <c r="D1784">
        <f>J1783</f>
        <v/>
      </c>
      <c r="E1784">
        <f>IF(A1784="",0,D1784*C1784/100/(DATE(YEAR(A1784)+1,1,1)-DATE(YEAR(A1784),1,1)))</f>
        <v/>
      </c>
      <c r="F1784">
        <f>IF(A1784="",0,SUMIF(Rechner!$A$12:$A$21,A1784,Rechner!$B$12:$B$21))</f>
        <v/>
      </c>
      <c r="G1784">
        <f>H1783+E1784</f>
        <v/>
      </c>
      <c r="H1784">
        <f>G1784-MIN(F1784,G1784)</f>
        <v/>
      </c>
      <c r="I1784">
        <f>MIN(F1784-MIN(F1784,G1784),D1784)</f>
        <v/>
      </c>
      <c r="J1784">
        <f>D1784-I1784</f>
        <v/>
      </c>
      <c r="K1784">
        <f>F1784-MIN(F1784,G1784)-I1784</f>
        <v/>
      </c>
    </row>
    <row r="1785">
      <c r="A1785" s="21">
        <f>IF(Rechner!$E$4&lt;&gt;"ok","",IF(Rechner!$E$5+1783&lt;=Rechner!$B$6,Rechner!$E$5+1783,""))</f>
        <v/>
      </c>
      <c r="B1785">
        <f>IF(A1785="","",LOOKUP(A1785,Basiszins!$A$5:$A$18,Basiszins!$B$5:$B$18))</f>
        <v/>
      </c>
      <c r="C1785">
        <f>IF(A1785="","",B1785+Rechner!$E$7)</f>
        <v/>
      </c>
      <c r="D1785">
        <f>J1784</f>
        <v/>
      </c>
      <c r="E1785">
        <f>IF(A1785="",0,D1785*C1785/100/(DATE(YEAR(A1785)+1,1,1)-DATE(YEAR(A1785),1,1)))</f>
        <v/>
      </c>
      <c r="F1785">
        <f>IF(A1785="",0,SUMIF(Rechner!$A$12:$A$21,A1785,Rechner!$B$12:$B$21))</f>
        <v/>
      </c>
      <c r="G1785">
        <f>H1784+E1785</f>
        <v/>
      </c>
      <c r="H1785">
        <f>G1785-MIN(F1785,G1785)</f>
        <v/>
      </c>
      <c r="I1785">
        <f>MIN(F1785-MIN(F1785,G1785),D1785)</f>
        <v/>
      </c>
      <c r="J1785">
        <f>D1785-I1785</f>
        <v/>
      </c>
      <c r="K1785">
        <f>F1785-MIN(F1785,G1785)-I1785</f>
        <v/>
      </c>
    </row>
    <row r="1786">
      <c r="A1786" s="21">
        <f>IF(Rechner!$E$4&lt;&gt;"ok","",IF(Rechner!$E$5+1784&lt;=Rechner!$B$6,Rechner!$E$5+1784,""))</f>
        <v/>
      </c>
      <c r="B1786">
        <f>IF(A1786="","",LOOKUP(A1786,Basiszins!$A$5:$A$18,Basiszins!$B$5:$B$18))</f>
        <v/>
      </c>
      <c r="C1786">
        <f>IF(A1786="","",B1786+Rechner!$E$7)</f>
        <v/>
      </c>
      <c r="D1786">
        <f>J1785</f>
        <v/>
      </c>
      <c r="E1786">
        <f>IF(A1786="",0,D1786*C1786/100/(DATE(YEAR(A1786)+1,1,1)-DATE(YEAR(A1786),1,1)))</f>
        <v/>
      </c>
      <c r="F1786">
        <f>IF(A1786="",0,SUMIF(Rechner!$A$12:$A$21,A1786,Rechner!$B$12:$B$21))</f>
        <v/>
      </c>
      <c r="G1786">
        <f>H1785+E1786</f>
        <v/>
      </c>
      <c r="H1786">
        <f>G1786-MIN(F1786,G1786)</f>
        <v/>
      </c>
      <c r="I1786">
        <f>MIN(F1786-MIN(F1786,G1786),D1786)</f>
        <v/>
      </c>
      <c r="J1786">
        <f>D1786-I1786</f>
        <v/>
      </c>
      <c r="K1786">
        <f>F1786-MIN(F1786,G1786)-I1786</f>
        <v/>
      </c>
    </row>
    <row r="1787">
      <c r="A1787" s="21">
        <f>IF(Rechner!$E$4&lt;&gt;"ok","",IF(Rechner!$E$5+1785&lt;=Rechner!$B$6,Rechner!$E$5+1785,""))</f>
        <v/>
      </c>
      <c r="B1787">
        <f>IF(A1787="","",LOOKUP(A1787,Basiszins!$A$5:$A$18,Basiszins!$B$5:$B$18))</f>
        <v/>
      </c>
      <c r="C1787">
        <f>IF(A1787="","",B1787+Rechner!$E$7)</f>
        <v/>
      </c>
      <c r="D1787">
        <f>J1786</f>
        <v/>
      </c>
      <c r="E1787">
        <f>IF(A1787="",0,D1787*C1787/100/(DATE(YEAR(A1787)+1,1,1)-DATE(YEAR(A1787),1,1)))</f>
        <v/>
      </c>
      <c r="F1787">
        <f>IF(A1787="",0,SUMIF(Rechner!$A$12:$A$21,A1787,Rechner!$B$12:$B$21))</f>
        <v/>
      </c>
      <c r="G1787">
        <f>H1786+E1787</f>
        <v/>
      </c>
      <c r="H1787">
        <f>G1787-MIN(F1787,G1787)</f>
        <v/>
      </c>
      <c r="I1787">
        <f>MIN(F1787-MIN(F1787,G1787),D1787)</f>
        <v/>
      </c>
      <c r="J1787">
        <f>D1787-I1787</f>
        <v/>
      </c>
      <c r="K1787">
        <f>F1787-MIN(F1787,G1787)-I1787</f>
        <v/>
      </c>
    </row>
    <row r="1788">
      <c r="A1788" s="21">
        <f>IF(Rechner!$E$4&lt;&gt;"ok","",IF(Rechner!$E$5+1786&lt;=Rechner!$B$6,Rechner!$E$5+1786,""))</f>
        <v/>
      </c>
      <c r="B1788">
        <f>IF(A1788="","",LOOKUP(A1788,Basiszins!$A$5:$A$18,Basiszins!$B$5:$B$18))</f>
        <v/>
      </c>
      <c r="C1788">
        <f>IF(A1788="","",B1788+Rechner!$E$7)</f>
        <v/>
      </c>
      <c r="D1788">
        <f>J1787</f>
        <v/>
      </c>
      <c r="E1788">
        <f>IF(A1788="",0,D1788*C1788/100/(DATE(YEAR(A1788)+1,1,1)-DATE(YEAR(A1788),1,1)))</f>
        <v/>
      </c>
      <c r="F1788">
        <f>IF(A1788="",0,SUMIF(Rechner!$A$12:$A$21,A1788,Rechner!$B$12:$B$21))</f>
        <v/>
      </c>
      <c r="G1788">
        <f>H1787+E1788</f>
        <v/>
      </c>
      <c r="H1788">
        <f>G1788-MIN(F1788,G1788)</f>
        <v/>
      </c>
      <c r="I1788">
        <f>MIN(F1788-MIN(F1788,G1788),D1788)</f>
        <v/>
      </c>
      <c r="J1788">
        <f>D1788-I1788</f>
        <v/>
      </c>
      <c r="K1788">
        <f>F1788-MIN(F1788,G1788)-I1788</f>
        <v/>
      </c>
    </row>
    <row r="1789">
      <c r="A1789" s="21">
        <f>IF(Rechner!$E$4&lt;&gt;"ok","",IF(Rechner!$E$5+1787&lt;=Rechner!$B$6,Rechner!$E$5+1787,""))</f>
        <v/>
      </c>
      <c r="B1789">
        <f>IF(A1789="","",LOOKUP(A1789,Basiszins!$A$5:$A$18,Basiszins!$B$5:$B$18))</f>
        <v/>
      </c>
      <c r="C1789">
        <f>IF(A1789="","",B1789+Rechner!$E$7)</f>
        <v/>
      </c>
      <c r="D1789">
        <f>J1788</f>
        <v/>
      </c>
      <c r="E1789">
        <f>IF(A1789="",0,D1789*C1789/100/(DATE(YEAR(A1789)+1,1,1)-DATE(YEAR(A1789),1,1)))</f>
        <v/>
      </c>
      <c r="F1789">
        <f>IF(A1789="",0,SUMIF(Rechner!$A$12:$A$21,A1789,Rechner!$B$12:$B$21))</f>
        <v/>
      </c>
      <c r="G1789">
        <f>H1788+E1789</f>
        <v/>
      </c>
      <c r="H1789">
        <f>G1789-MIN(F1789,G1789)</f>
        <v/>
      </c>
      <c r="I1789">
        <f>MIN(F1789-MIN(F1789,G1789),D1789)</f>
        <v/>
      </c>
      <c r="J1789">
        <f>D1789-I1789</f>
        <v/>
      </c>
      <c r="K1789">
        <f>F1789-MIN(F1789,G1789)-I1789</f>
        <v/>
      </c>
    </row>
    <row r="1790">
      <c r="A1790" s="21">
        <f>IF(Rechner!$E$4&lt;&gt;"ok","",IF(Rechner!$E$5+1788&lt;=Rechner!$B$6,Rechner!$E$5+1788,""))</f>
        <v/>
      </c>
      <c r="B1790">
        <f>IF(A1790="","",LOOKUP(A1790,Basiszins!$A$5:$A$18,Basiszins!$B$5:$B$18))</f>
        <v/>
      </c>
      <c r="C1790">
        <f>IF(A1790="","",B1790+Rechner!$E$7)</f>
        <v/>
      </c>
      <c r="D1790">
        <f>J1789</f>
        <v/>
      </c>
      <c r="E1790">
        <f>IF(A1790="",0,D1790*C1790/100/(DATE(YEAR(A1790)+1,1,1)-DATE(YEAR(A1790),1,1)))</f>
        <v/>
      </c>
      <c r="F1790">
        <f>IF(A1790="",0,SUMIF(Rechner!$A$12:$A$21,A1790,Rechner!$B$12:$B$21))</f>
        <v/>
      </c>
      <c r="G1790">
        <f>H1789+E1790</f>
        <v/>
      </c>
      <c r="H1790">
        <f>G1790-MIN(F1790,G1790)</f>
        <v/>
      </c>
      <c r="I1790">
        <f>MIN(F1790-MIN(F1790,G1790),D1790)</f>
        <v/>
      </c>
      <c r="J1790">
        <f>D1790-I1790</f>
        <v/>
      </c>
      <c r="K1790">
        <f>F1790-MIN(F1790,G1790)-I1790</f>
        <v/>
      </c>
    </row>
    <row r="1791">
      <c r="A1791" s="21">
        <f>IF(Rechner!$E$4&lt;&gt;"ok","",IF(Rechner!$E$5+1789&lt;=Rechner!$B$6,Rechner!$E$5+1789,""))</f>
        <v/>
      </c>
      <c r="B1791">
        <f>IF(A1791="","",LOOKUP(A1791,Basiszins!$A$5:$A$18,Basiszins!$B$5:$B$18))</f>
        <v/>
      </c>
      <c r="C1791">
        <f>IF(A1791="","",B1791+Rechner!$E$7)</f>
        <v/>
      </c>
      <c r="D1791">
        <f>J1790</f>
        <v/>
      </c>
      <c r="E1791">
        <f>IF(A1791="",0,D1791*C1791/100/(DATE(YEAR(A1791)+1,1,1)-DATE(YEAR(A1791),1,1)))</f>
        <v/>
      </c>
      <c r="F1791">
        <f>IF(A1791="",0,SUMIF(Rechner!$A$12:$A$21,A1791,Rechner!$B$12:$B$21))</f>
        <v/>
      </c>
      <c r="G1791">
        <f>H1790+E1791</f>
        <v/>
      </c>
      <c r="H1791">
        <f>G1791-MIN(F1791,G1791)</f>
        <v/>
      </c>
      <c r="I1791">
        <f>MIN(F1791-MIN(F1791,G1791),D1791)</f>
        <v/>
      </c>
      <c r="J1791">
        <f>D1791-I1791</f>
        <v/>
      </c>
      <c r="K1791">
        <f>F1791-MIN(F1791,G1791)-I1791</f>
        <v/>
      </c>
    </row>
    <row r="1792">
      <c r="A1792" s="21">
        <f>IF(Rechner!$E$4&lt;&gt;"ok","",IF(Rechner!$E$5+1790&lt;=Rechner!$B$6,Rechner!$E$5+1790,""))</f>
        <v/>
      </c>
      <c r="B1792">
        <f>IF(A1792="","",LOOKUP(A1792,Basiszins!$A$5:$A$18,Basiszins!$B$5:$B$18))</f>
        <v/>
      </c>
      <c r="C1792">
        <f>IF(A1792="","",B1792+Rechner!$E$7)</f>
        <v/>
      </c>
      <c r="D1792">
        <f>J1791</f>
        <v/>
      </c>
      <c r="E1792">
        <f>IF(A1792="",0,D1792*C1792/100/(DATE(YEAR(A1792)+1,1,1)-DATE(YEAR(A1792),1,1)))</f>
        <v/>
      </c>
      <c r="F1792">
        <f>IF(A1792="",0,SUMIF(Rechner!$A$12:$A$21,A1792,Rechner!$B$12:$B$21))</f>
        <v/>
      </c>
      <c r="G1792">
        <f>H1791+E1792</f>
        <v/>
      </c>
      <c r="H1792">
        <f>G1792-MIN(F1792,G1792)</f>
        <v/>
      </c>
      <c r="I1792">
        <f>MIN(F1792-MIN(F1792,G1792),D1792)</f>
        <v/>
      </c>
      <c r="J1792">
        <f>D1792-I1792</f>
        <v/>
      </c>
      <c r="K1792">
        <f>F1792-MIN(F1792,G1792)-I1792</f>
        <v/>
      </c>
    </row>
    <row r="1793">
      <c r="A1793" s="21">
        <f>IF(Rechner!$E$4&lt;&gt;"ok","",IF(Rechner!$E$5+1791&lt;=Rechner!$B$6,Rechner!$E$5+1791,""))</f>
        <v/>
      </c>
      <c r="B1793">
        <f>IF(A1793="","",LOOKUP(A1793,Basiszins!$A$5:$A$18,Basiszins!$B$5:$B$18))</f>
        <v/>
      </c>
      <c r="C1793">
        <f>IF(A1793="","",B1793+Rechner!$E$7)</f>
        <v/>
      </c>
      <c r="D1793">
        <f>J1792</f>
        <v/>
      </c>
      <c r="E1793">
        <f>IF(A1793="",0,D1793*C1793/100/(DATE(YEAR(A1793)+1,1,1)-DATE(YEAR(A1793),1,1)))</f>
        <v/>
      </c>
      <c r="F1793">
        <f>IF(A1793="",0,SUMIF(Rechner!$A$12:$A$21,A1793,Rechner!$B$12:$B$21))</f>
        <v/>
      </c>
      <c r="G1793">
        <f>H1792+E1793</f>
        <v/>
      </c>
      <c r="H1793">
        <f>G1793-MIN(F1793,G1793)</f>
        <v/>
      </c>
      <c r="I1793">
        <f>MIN(F1793-MIN(F1793,G1793),D1793)</f>
        <v/>
      </c>
      <c r="J1793">
        <f>D1793-I1793</f>
        <v/>
      </c>
      <c r="K1793">
        <f>F1793-MIN(F1793,G1793)-I1793</f>
        <v/>
      </c>
    </row>
    <row r="1794">
      <c r="A1794" s="21">
        <f>IF(Rechner!$E$4&lt;&gt;"ok","",IF(Rechner!$E$5+1792&lt;=Rechner!$B$6,Rechner!$E$5+1792,""))</f>
        <v/>
      </c>
      <c r="B1794">
        <f>IF(A1794="","",LOOKUP(A1794,Basiszins!$A$5:$A$18,Basiszins!$B$5:$B$18))</f>
        <v/>
      </c>
      <c r="C1794">
        <f>IF(A1794="","",B1794+Rechner!$E$7)</f>
        <v/>
      </c>
      <c r="D1794">
        <f>J1793</f>
        <v/>
      </c>
      <c r="E1794">
        <f>IF(A1794="",0,D1794*C1794/100/(DATE(YEAR(A1794)+1,1,1)-DATE(YEAR(A1794),1,1)))</f>
        <v/>
      </c>
      <c r="F1794">
        <f>IF(A1794="",0,SUMIF(Rechner!$A$12:$A$21,A1794,Rechner!$B$12:$B$21))</f>
        <v/>
      </c>
      <c r="G1794">
        <f>H1793+E1794</f>
        <v/>
      </c>
      <c r="H1794">
        <f>G1794-MIN(F1794,G1794)</f>
        <v/>
      </c>
      <c r="I1794">
        <f>MIN(F1794-MIN(F1794,G1794),D1794)</f>
        <v/>
      </c>
      <c r="J1794">
        <f>D1794-I1794</f>
        <v/>
      </c>
      <c r="K1794">
        <f>F1794-MIN(F1794,G1794)-I1794</f>
        <v/>
      </c>
    </row>
    <row r="1795">
      <c r="A1795" s="21">
        <f>IF(Rechner!$E$4&lt;&gt;"ok","",IF(Rechner!$E$5+1793&lt;=Rechner!$B$6,Rechner!$E$5+1793,""))</f>
        <v/>
      </c>
      <c r="B1795">
        <f>IF(A1795="","",LOOKUP(A1795,Basiszins!$A$5:$A$18,Basiszins!$B$5:$B$18))</f>
        <v/>
      </c>
      <c r="C1795">
        <f>IF(A1795="","",B1795+Rechner!$E$7)</f>
        <v/>
      </c>
      <c r="D1795">
        <f>J1794</f>
        <v/>
      </c>
      <c r="E1795">
        <f>IF(A1795="",0,D1795*C1795/100/(DATE(YEAR(A1795)+1,1,1)-DATE(YEAR(A1795),1,1)))</f>
        <v/>
      </c>
      <c r="F1795">
        <f>IF(A1795="",0,SUMIF(Rechner!$A$12:$A$21,A1795,Rechner!$B$12:$B$21))</f>
        <v/>
      </c>
      <c r="G1795">
        <f>H1794+E1795</f>
        <v/>
      </c>
      <c r="H1795">
        <f>G1795-MIN(F1795,G1795)</f>
        <v/>
      </c>
      <c r="I1795">
        <f>MIN(F1795-MIN(F1795,G1795),D1795)</f>
        <v/>
      </c>
      <c r="J1795">
        <f>D1795-I1795</f>
        <v/>
      </c>
      <c r="K1795">
        <f>F1795-MIN(F1795,G1795)-I1795</f>
        <v/>
      </c>
    </row>
    <row r="1796">
      <c r="A1796" s="21">
        <f>IF(Rechner!$E$4&lt;&gt;"ok","",IF(Rechner!$E$5+1794&lt;=Rechner!$B$6,Rechner!$E$5+1794,""))</f>
        <v/>
      </c>
      <c r="B1796">
        <f>IF(A1796="","",LOOKUP(A1796,Basiszins!$A$5:$A$18,Basiszins!$B$5:$B$18))</f>
        <v/>
      </c>
      <c r="C1796">
        <f>IF(A1796="","",B1796+Rechner!$E$7)</f>
        <v/>
      </c>
      <c r="D1796">
        <f>J1795</f>
        <v/>
      </c>
      <c r="E1796">
        <f>IF(A1796="",0,D1796*C1796/100/(DATE(YEAR(A1796)+1,1,1)-DATE(YEAR(A1796),1,1)))</f>
        <v/>
      </c>
      <c r="F1796">
        <f>IF(A1796="",0,SUMIF(Rechner!$A$12:$A$21,A1796,Rechner!$B$12:$B$21))</f>
        <v/>
      </c>
      <c r="G1796">
        <f>H1795+E1796</f>
        <v/>
      </c>
      <c r="H1796">
        <f>G1796-MIN(F1796,G1796)</f>
        <v/>
      </c>
      <c r="I1796">
        <f>MIN(F1796-MIN(F1796,G1796),D1796)</f>
        <v/>
      </c>
      <c r="J1796">
        <f>D1796-I1796</f>
        <v/>
      </c>
      <c r="K1796">
        <f>F1796-MIN(F1796,G1796)-I1796</f>
        <v/>
      </c>
    </row>
    <row r="1797">
      <c r="A1797" s="21">
        <f>IF(Rechner!$E$4&lt;&gt;"ok","",IF(Rechner!$E$5+1795&lt;=Rechner!$B$6,Rechner!$E$5+1795,""))</f>
        <v/>
      </c>
      <c r="B1797">
        <f>IF(A1797="","",LOOKUP(A1797,Basiszins!$A$5:$A$18,Basiszins!$B$5:$B$18))</f>
        <v/>
      </c>
      <c r="C1797">
        <f>IF(A1797="","",B1797+Rechner!$E$7)</f>
        <v/>
      </c>
      <c r="D1797">
        <f>J1796</f>
        <v/>
      </c>
      <c r="E1797">
        <f>IF(A1797="",0,D1797*C1797/100/(DATE(YEAR(A1797)+1,1,1)-DATE(YEAR(A1797),1,1)))</f>
        <v/>
      </c>
      <c r="F1797">
        <f>IF(A1797="",0,SUMIF(Rechner!$A$12:$A$21,A1797,Rechner!$B$12:$B$21))</f>
        <v/>
      </c>
      <c r="G1797">
        <f>H1796+E1797</f>
        <v/>
      </c>
      <c r="H1797">
        <f>G1797-MIN(F1797,G1797)</f>
        <v/>
      </c>
      <c r="I1797">
        <f>MIN(F1797-MIN(F1797,G1797),D1797)</f>
        <v/>
      </c>
      <c r="J1797">
        <f>D1797-I1797</f>
        <v/>
      </c>
      <c r="K1797">
        <f>F1797-MIN(F1797,G1797)-I1797</f>
        <v/>
      </c>
    </row>
    <row r="1798">
      <c r="A1798" s="21">
        <f>IF(Rechner!$E$4&lt;&gt;"ok","",IF(Rechner!$E$5+1796&lt;=Rechner!$B$6,Rechner!$E$5+1796,""))</f>
        <v/>
      </c>
      <c r="B1798">
        <f>IF(A1798="","",LOOKUP(A1798,Basiszins!$A$5:$A$18,Basiszins!$B$5:$B$18))</f>
        <v/>
      </c>
      <c r="C1798">
        <f>IF(A1798="","",B1798+Rechner!$E$7)</f>
        <v/>
      </c>
      <c r="D1798">
        <f>J1797</f>
        <v/>
      </c>
      <c r="E1798">
        <f>IF(A1798="",0,D1798*C1798/100/(DATE(YEAR(A1798)+1,1,1)-DATE(YEAR(A1798),1,1)))</f>
        <v/>
      </c>
      <c r="F1798">
        <f>IF(A1798="",0,SUMIF(Rechner!$A$12:$A$21,A1798,Rechner!$B$12:$B$21))</f>
        <v/>
      </c>
      <c r="G1798">
        <f>H1797+E1798</f>
        <v/>
      </c>
      <c r="H1798">
        <f>G1798-MIN(F1798,G1798)</f>
        <v/>
      </c>
      <c r="I1798">
        <f>MIN(F1798-MIN(F1798,G1798),D1798)</f>
        <v/>
      </c>
      <c r="J1798">
        <f>D1798-I1798</f>
        <v/>
      </c>
      <c r="K1798">
        <f>F1798-MIN(F1798,G1798)-I1798</f>
        <v/>
      </c>
    </row>
    <row r="1799">
      <c r="A1799" s="21">
        <f>IF(Rechner!$E$4&lt;&gt;"ok","",IF(Rechner!$E$5+1797&lt;=Rechner!$B$6,Rechner!$E$5+1797,""))</f>
        <v/>
      </c>
      <c r="B1799">
        <f>IF(A1799="","",LOOKUP(A1799,Basiszins!$A$5:$A$18,Basiszins!$B$5:$B$18))</f>
        <v/>
      </c>
      <c r="C1799">
        <f>IF(A1799="","",B1799+Rechner!$E$7)</f>
        <v/>
      </c>
      <c r="D1799">
        <f>J1798</f>
        <v/>
      </c>
      <c r="E1799">
        <f>IF(A1799="",0,D1799*C1799/100/(DATE(YEAR(A1799)+1,1,1)-DATE(YEAR(A1799),1,1)))</f>
        <v/>
      </c>
      <c r="F1799">
        <f>IF(A1799="",0,SUMIF(Rechner!$A$12:$A$21,A1799,Rechner!$B$12:$B$21))</f>
        <v/>
      </c>
      <c r="G1799">
        <f>H1798+E1799</f>
        <v/>
      </c>
      <c r="H1799">
        <f>G1799-MIN(F1799,G1799)</f>
        <v/>
      </c>
      <c r="I1799">
        <f>MIN(F1799-MIN(F1799,G1799),D1799)</f>
        <v/>
      </c>
      <c r="J1799">
        <f>D1799-I1799</f>
        <v/>
      </c>
      <c r="K1799">
        <f>F1799-MIN(F1799,G1799)-I1799</f>
        <v/>
      </c>
    </row>
    <row r="1800">
      <c r="A1800" s="21">
        <f>IF(Rechner!$E$4&lt;&gt;"ok","",IF(Rechner!$E$5+1798&lt;=Rechner!$B$6,Rechner!$E$5+1798,""))</f>
        <v/>
      </c>
      <c r="B1800">
        <f>IF(A1800="","",LOOKUP(A1800,Basiszins!$A$5:$A$18,Basiszins!$B$5:$B$18))</f>
        <v/>
      </c>
      <c r="C1800">
        <f>IF(A1800="","",B1800+Rechner!$E$7)</f>
        <v/>
      </c>
      <c r="D1800">
        <f>J1799</f>
        <v/>
      </c>
      <c r="E1800">
        <f>IF(A1800="",0,D1800*C1800/100/(DATE(YEAR(A1800)+1,1,1)-DATE(YEAR(A1800),1,1)))</f>
        <v/>
      </c>
      <c r="F1800">
        <f>IF(A1800="",0,SUMIF(Rechner!$A$12:$A$21,A1800,Rechner!$B$12:$B$21))</f>
        <v/>
      </c>
      <c r="G1800">
        <f>H1799+E1800</f>
        <v/>
      </c>
      <c r="H1800">
        <f>G1800-MIN(F1800,G1800)</f>
        <v/>
      </c>
      <c r="I1800">
        <f>MIN(F1800-MIN(F1800,G1800),D1800)</f>
        <v/>
      </c>
      <c r="J1800">
        <f>D1800-I1800</f>
        <v/>
      </c>
      <c r="K1800">
        <f>F1800-MIN(F1800,G1800)-I1800</f>
        <v/>
      </c>
    </row>
    <row r="1801">
      <c r="A1801" s="21">
        <f>IF(Rechner!$E$4&lt;&gt;"ok","",IF(Rechner!$E$5+1799&lt;=Rechner!$B$6,Rechner!$E$5+1799,""))</f>
        <v/>
      </c>
      <c r="B1801">
        <f>IF(A1801="","",LOOKUP(A1801,Basiszins!$A$5:$A$18,Basiszins!$B$5:$B$18))</f>
        <v/>
      </c>
      <c r="C1801">
        <f>IF(A1801="","",B1801+Rechner!$E$7)</f>
        <v/>
      </c>
      <c r="D1801">
        <f>J1800</f>
        <v/>
      </c>
      <c r="E1801">
        <f>IF(A1801="",0,D1801*C1801/100/(DATE(YEAR(A1801)+1,1,1)-DATE(YEAR(A1801),1,1)))</f>
        <v/>
      </c>
      <c r="F1801">
        <f>IF(A1801="",0,SUMIF(Rechner!$A$12:$A$21,A1801,Rechner!$B$12:$B$21))</f>
        <v/>
      </c>
      <c r="G1801">
        <f>H1800+E1801</f>
        <v/>
      </c>
      <c r="H1801">
        <f>G1801-MIN(F1801,G1801)</f>
        <v/>
      </c>
      <c r="I1801">
        <f>MIN(F1801-MIN(F1801,G1801),D1801)</f>
        <v/>
      </c>
      <c r="J1801">
        <f>D1801-I1801</f>
        <v/>
      </c>
      <c r="K1801">
        <f>F1801-MIN(F1801,G1801)-I1801</f>
        <v/>
      </c>
    </row>
    <row r="1802">
      <c r="A1802" s="21">
        <f>IF(Rechner!$E$4&lt;&gt;"ok","",IF(Rechner!$E$5+1800&lt;=Rechner!$B$6,Rechner!$E$5+1800,""))</f>
        <v/>
      </c>
      <c r="B1802">
        <f>IF(A1802="","",LOOKUP(A1802,Basiszins!$A$5:$A$18,Basiszins!$B$5:$B$18))</f>
        <v/>
      </c>
      <c r="C1802">
        <f>IF(A1802="","",B1802+Rechner!$E$7)</f>
        <v/>
      </c>
      <c r="D1802">
        <f>J1801</f>
        <v/>
      </c>
      <c r="E1802">
        <f>IF(A1802="",0,D1802*C1802/100/(DATE(YEAR(A1802)+1,1,1)-DATE(YEAR(A1802),1,1)))</f>
        <v/>
      </c>
      <c r="F1802">
        <f>IF(A1802="",0,SUMIF(Rechner!$A$12:$A$21,A1802,Rechner!$B$12:$B$21))</f>
        <v/>
      </c>
      <c r="G1802">
        <f>H1801+E1802</f>
        <v/>
      </c>
      <c r="H1802">
        <f>G1802-MIN(F1802,G1802)</f>
        <v/>
      </c>
      <c r="I1802">
        <f>MIN(F1802-MIN(F1802,G1802),D1802)</f>
        <v/>
      </c>
      <c r="J1802">
        <f>D1802-I1802</f>
        <v/>
      </c>
      <c r="K1802">
        <f>F1802-MIN(F1802,G1802)-I1802</f>
        <v/>
      </c>
    </row>
    <row r="1803">
      <c r="A1803" s="21">
        <f>IF(Rechner!$E$4&lt;&gt;"ok","",IF(Rechner!$E$5+1801&lt;=Rechner!$B$6,Rechner!$E$5+1801,""))</f>
        <v/>
      </c>
      <c r="B1803">
        <f>IF(A1803="","",LOOKUP(A1803,Basiszins!$A$5:$A$18,Basiszins!$B$5:$B$18))</f>
        <v/>
      </c>
      <c r="C1803">
        <f>IF(A1803="","",B1803+Rechner!$E$7)</f>
        <v/>
      </c>
      <c r="D1803">
        <f>J1802</f>
        <v/>
      </c>
      <c r="E1803">
        <f>IF(A1803="",0,D1803*C1803/100/(DATE(YEAR(A1803)+1,1,1)-DATE(YEAR(A1803),1,1)))</f>
        <v/>
      </c>
      <c r="F1803">
        <f>IF(A1803="",0,SUMIF(Rechner!$A$12:$A$21,A1803,Rechner!$B$12:$B$21))</f>
        <v/>
      </c>
      <c r="G1803">
        <f>H1802+E1803</f>
        <v/>
      </c>
      <c r="H1803">
        <f>G1803-MIN(F1803,G1803)</f>
        <v/>
      </c>
      <c r="I1803">
        <f>MIN(F1803-MIN(F1803,G1803),D1803)</f>
        <v/>
      </c>
      <c r="J1803">
        <f>D1803-I1803</f>
        <v/>
      </c>
      <c r="K1803">
        <f>F1803-MIN(F1803,G1803)-I1803</f>
        <v/>
      </c>
    </row>
    <row r="1804">
      <c r="A1804" s="21">
        <f>IF(Rechner!$E$4&lt;&gt;"ok","",IF(Rechner!$E$5+1802&lt;=Rechner!$B$6,Rechner!$E$5+1802,""))</f>
        <v/>
      </c>
      <c r="B1804">
        <f>IF(A1804="","",LOOKUP(A1804,Basiszins!$A$5:$A$18,Basiszins!$B$5:$B$18))</f>
        <v/>
      </c>
      <c r="C1804">
        <f>IF(A1804="","",B1804+Rechner!$E$7)</f>
        <v/>
      </c>
      <c r="D1804">
        <f>J1803</f>
        <v/>
      </c>
      <c r="E1804">
        <f>IF(A1804="",0,D1804*C1804/100/(DATE(YEAR(A1804)+1,1,1)-DATE(YEAR(A1804),1,1)))</f>
        <v/>
      </c>
      <c r="F1804">
        <f>IF(A1804="",0,SUMIF(Rechner!$A$12:$A$21,A1804,Rechner!$B$12:$B$21))</f>
        <v/>
      </c>
      <c r="G1804">
        <f>H1803+E1804</f>
        <v/>
      </c>
      <c r="H1804">
        <f>G1804-MIN(F1804,G1804)</f>
        <v/>
      </c>
      <c r="I1804">
        <f>MIN(F1804-MIN(F1804,G1804),D1804)</f>
        <v/>
      </c>
      <c r="J1804">
        <f>D1804-I1804</f>
        <v/>
      </c>
      <c r="K1804">
        <f>F1804-MIN(F1804,G1804)-I1804</f>
        <v/>
      </c>
    </row>
    <row r="1805">
      <c r="A1805" s="21">
        <f>IF(Rechner!$E$4&lt;&gt;"ok","",IF(Rechner!$E$5+1803&lt;=Rechner!$B$6,Rechner!$E$5+1803,""))</f>
        <v/>
      </c>
      <c r="B1805">
        <f>IF(A1805="","",LOOKUP(A1805,Basiszins!$A$5:$A$18,Basiszins!$B$5:$B$18))</f>
        <v/>
      </c>
      <c r="C1805">
        <f>IF(A1805="","",B1805+Rechner!$E$7)</f>
        <v/>
      </c>
      <c r="D1805">
        <f>J1804</f>
        <v/>
      </c>
      <c r="E1805">
        <f>IF(A1805="",0,D1805*C1805/100/(DATE(YEAR(A1805)+1,1,1)-DATE(YEAR(A1805),1,1)))</f>
        <v/>
      </c>
      <c r="F1805">
        <f>IF(A1805="",0,SUMIF(Rechner!$A$12:$A$21,A1805,Rechner!$B$12:$B$21))</f>
        <v/>
      </c>
      <c r="G1805">
        <f>H1804+E1805</f>
        <v/>
      </c>
      <c r="H1805">
        <f>G1805-MIN(F1805,G1805)</f>
        <v/>
      </c>
      <c r="I1805">
        <f>MIN(F1805-MIN(F1805,G1805),D1805)</f>
        <v/>
      </c>
      <c r="J1805">
        <f>D1805-I1805</f>
        <v/>
      </c>
      <c r="K1805">
        <f>F1805-MIN(F1805,G1805)-I1805</f>
        <v/>
      </c>
    </row>
    <row r="1806">
      <c r="A1806" s="21">
        <f>IF(Rechner!$E$4&lt;&gt;"ok","",IF(Rechner!$E$5+1804&lt;=Rechner!$B$6,Rechner!$E$5+1804,""))</f>
        <v/>
      </c>
      <c r="B1806">
        <f>IF(A1806="","",LOOKUP(A1806,Basiszins!$A$5:$A$18,Basiszins!$B$5:$B$18))</f>
        <v/>
      </c>
      <c r="C1806">
        <f>IF(A1806="","",B1806+Rechner!$E$7)</f>
        <v/>
      </c>
      <c r="D1806">
        <f>J1805</f>
        <v/>
      </c>
      <c r="E1806">
        <f>IF(A1806="",0,D1806*C1806/100/(DATE(YEAR(A1806)+1,1,1)-DATE(YEAR(A1806),1,1)))</f>
        <v/>
      </c>
      <c r="F1806">
        <f>IF(A1806="",0,SUMIF(Rechner!$A$12:$A$21,A1806,Rechner!$B$12:$B$21))</f>
        <v/>
      </c>
      <c r="G1806">
        <f>H1805+E1806</f>
        <v/>
      </c>
      <c r="H1806">
        <f>G1806-MIN(F1806,G1806)</f>
        <v/>
      </c>
      <c r="I1806">
        <f>MIN(F1806-MIN(F1806,G1806),D1806)</f>
        <v/>
      </c>
      <c r="J1806">
        <f>D1806-I1806</f>
        <v/>
      </c>
      <c r="K1806">
        <f>F1806-MIN(F1806,G1806)-I1806</f>
        <v/>
      </c>
    </row>
    <row r="1807">
      <c r="A1807" s="21">
        <f>IF(Rechner!$E$4&lt;&gt;"ok","",IF(Rechner!$E$5+1805&lt;=Rechner!$B$6,Rechner!$E$5+1805,""))</f>
        <v/>
      </c>
      <c r="B1807">
        <f>IF(A1807="","",LOOKUP(A1807,Basiszins!$A$5:$A$18,Basiszins!$B$5:$B$18))</f>
        <v/>
      </c>
      <c r="C1807">
        <f>IF(A1807="","",B1807+Rechner!$E$7)</f>
        <v/>
      </c>
      <c r="D1807">
        <f>J1806</f>
        <v/>
      </c>
      <c r="E1807">
        <f>IF(A1807="",0,D1807*C1807/100/(DATE(YEAR(A1807)+1,1,1)-DATE(YEAR(A1807),1,1)))</f>
        <v/>
      </c>
      <c r="F1807">
        <f>IF(A1807="",0,SUMIF(Rechner!$A$12:$A$21,A1807,Rechner!$B$12:$B$21))</f>
        <v/>
      </c>
      <c r="G1807">
        <f>H1806+E1807</f>
        <v/>
      </c>
      <c r="H1807">
        <f>G1807-MIN(F1807,G1807)</f>
        <v/>
      </c>
      <c r="I1807">
        <f>MIN(F1807-MIN(F1807,G1807),D1807)</f>
        <v/>
      </c>
      <c r="J1807">
        <f>D1807-I1807</f>
        <v/>
      </c>
      <c r="K1807">
        <f>F1807-MIN(F1807,G1807)-I1807</f>
        <v/>
      </c>
    </row>
    <row r="1808">
      <c r="A1808" s="21">
        <f>IF(Rechner!$E$4&lt;&gt;"ok","",IF(Rechner!$E$5+1806&lt;=Rechner!$B$6,Rechner!$E$5+1806,""))</f>
        <v/>
      </c>
      <c r="B1808">
        <f>IF(A1808="","",LOOKUP(A1808,Basiszins!$A$5:$A$18,Basiszins!$B$5:$B$18))</f>
        <v/>
      </c>
      <c r="C1808">
        <f>IF(A1808="","",B1808+Rechner!$E$7)</f>
        <v/>
      </c>
      <c r="D1808">
        <f>J1807</f>
        <v/>
      </c>
      <c r="E1808">
        <f>IF(A1808="",0,D1808*C1808/100/(DATE(YEAR(A1808)+1,1,1)-DATE(YEAR(A1808),1,1)))</f>
        <v/>
      </c>
      <c r="F1808">
        <f>IF(A1808="",0,SUMIF(Rechner!$A$12:$A$21,A1808,Rechner!$B$12:$B$21))</f>
        <v/>
      </c>
      <c r="G1808">
        <f>H1807+E1808</f>
        <v/>
      </c>
      <c r="H1808">
        <f>G1808-MIN(F1808,G1808)</f>
        <v/>
      </c>
      <c r="I1808">
        <f>MIN(F1808-MIN(F1808,G1808),D1808)</f>
        <v/>
      </c>
      <c r="J1808">
        <f>D1808-I1808</f>
        <v/>
      </c>
      <c r="K1808">
        <f>F1808-MIN(F1808,G1808)-I1808</f>
        <v/>
      </c>
    </row>
    <row r="1809">
      <c r="A1809" s="21">
        <f>IF(Rechner!$E$4&lt;&gt;"ok","",IF(Rechner!$E$5+1807&lt;=Rechner!$B$6,Rechner!$E$5+1807,""))</f>
        <v/>
      </c>
      <c r="B1809">
        <f>IF(A1809="","",LOOKUP(A1809,Basiszins!$A$5:$A$18,Basiszins!$B$5:$B$18))</f>
        <v/>
      </c>
      <c r="C1809">
        <f>IF(A1809="","",B1809+Rechner!$E$7)</f>
        <v/>
      </c>
      <c r="D1809">
        <f>J1808</f>
        <v/>
      </c>
      <c r="E1809">
        <f>IF(A1809="",0,D1809*C1809/100/(DATE(YEAR(A1809)+1,1,1)-DATE(YEAR(A1809),1,1)))</f>
        <v/>
      </c>
      <c r="F1809">
        <f>IF(A1809="",0,SUMIF(Rechner!$A$12:$A$21,A1809,Rechner!$B$12:$B$21))</f>
        <v/>
      </c>
      <c r="G1809">
        <f>H1808+E1809</f>
        <v/>
      </c>
      <c r="H1809">
        <f>G1809-MIN(F1809,G1809)</f>
        <v/>
      </c>
      <c r="I1809">
        <f>MIN(F1809-MIN(F1809,G1809),D1809)</f>
        <v/>
      </c>
      <c r="J1809">
        <f>D1809-I1809</f>
        <v/>
      </c>
      <c r="K1809">
        <f>F1809-MIN(F1809,G1809)-I1809</f>
        <v/>
      </c>
    </row>
    <row r="1810">
      <c r="A1810" s="21">
        <f>IF(Rechner!$E$4&lt;&gt;"ok","",IF(Rechner!$E$5+1808&lt;=Rechner!$B$6,Rechner!$E$5+1808,""))</f>
        <v/>
      </c>
      <c r="B1810">
        <f>IF(A1810="","",LOOKUP(A1810,Basiszins!$A$5:$A$18,Basiszins!$B$5:$B$18))</f>
        <v/>
      </c>
      <c r="C1810">
        <f>IF(A1810="","",B1810+Rechner!$E$7)</f>
        <v/>
      </c>
      <c r="D1810">
        <f>J1809</f>
        <v/>
      </c>
      <c r="E1810">
        <f>IF(A1810="",0,D1810*C1810/100/(DATE(YEAR(A1810)+1,1,1)-DATE(YEAR(A1810),1,1)))</f>
        <v/>
      </c>
      <c r="F1810">
        <f>IF(A1810="",0,SUMIF(Rechner!$A$12:$A$21,A1810,Rechner!$B$12:$B$21))</f>
        <v/>
      </c>
      <c r="G1810">
        <f>H1809+E1810</f>
        <v/>
      </c>
      <c r="H1810">
        <f>G1810-MIN(F1810,G1810)</f>
        <v/>
      </c>
      <c r="I1810">
        <f>MIN(F1810-MIN(F1810,G1810),D1810)</f>
        <v/>
      </c>
      <c r="J1810">
        <f>D1810-I1810</f>
        <v/>
      </c>
      <c r="K1810">
        <f>F1810-MIN(F1810,G1810)-I1810</f>
        <v/>
      </c>
    </row>
    <row r="1811">
      <c r="A1811" s="21">
        <f>IF(Rechner!$E$4&lt;&gt;"ok","",IF(Rechner!$E$5+1809&lt;=Rechner!$B$6,Rechner!$E$5+1809,""))</f>
        <v/>
      </c>
      <c r="B1811">
        <f>IF(A1811="","",LOOKUP(A1811,Basiszins!$A$5:$A$18,Basiszins!$B$5:$B$18))</f>
        <v/>
      </c>
      <c r="C1811">
        <f>IF(A1811="","",B1811+Rechner!$E$7)</f>
        <v/>
      </c>
      <c r="D1811">
        <f>J1810</f>
        <v/>
      </c>
      <c r="E1811">
        <f>IF(A1811="",0,D1811*C1811/100/(DATE(YEAR(A1811)+1,1,1)-DATE(YEAR(A1811),1,1)))</f>
        <v/>
      </c>
      <c r="F1811">
        <f>IF(A1811="",0,SUMIF(Rechner!$A$12:$A$21,A1811,Rechner!$B$12:$B$21))</f>
        <v/>
      </c>
      <c r="G1811">
        <f>H1810+E1811</f>
        <v/>
      </c>
      <c r="H1811">
        <f>G1811-MIN(F1811,G1811)</f>
        <v/>
      </c>
      <c r="I1811">
        <f>MIN(F1811-MIN(F1811,G1811),D1811)</f>
        <v/>
      </c>
      <c r="J1811">
        <f>D1811-I1811</f>
        <v/>
      </c>
      <c r="K1811">
        <f>F1811-MIN(F1811,G1811)-I1811</f>
        <v/>
      </c>
    </row>
    <row r="1812">
      <c r="A1812" s="21">
        <f>IF(Rechner!$E$4&lt;&gt;"ok","",IF(Rechner!$E$5+1810&lt;=Rechner!$B$6,Rechner!$E$5+1810,""))</f>
        <v/>
      </c>
      <c r="B1812">
        <f>IF(A1812="","",LOOKUP(A1812,Basiszins!$A$5:$A$18,Basiszins!$B$5:$B$18))</f>
        <v/>
      </c>
      <c r="C1812">
        <f>IF(A1812="","",B1812+Rechner!$E$7)</f>
        <v/>
      </c>
      <c r="D1812">
        <f>J1811</f>
        <v/>
      </c>
      <c r="E1812">
        <f>IF(A1812="",0,D1812*C1812/100/(DATE(YEAR(A1812)+1,1,1)-DATE(YEAR(A1812),1,1)))</f>
        <v/>
      </c>
      <c r="F1812">
        <f>IF(A1812="",0,SUMIF(Rechner!$A$12:$A$21,A1812,Rechner!$B$12:$B$21))</f>
        <v/>
      </c>
      <c r="G1812">
        <f>H1811+E1812</f>
        <v/>
      </c>
      <c r="H1812">
        <f>G1812-MIN(F1812,G1812)</f>
        <v/>
      </c>
      <c r="I1812">
        <f>MIN(F1812-MIN(F1812,G1812),D1812)</f>
        <v/>
      </c>
      <c r="J1812">
        <f>D1812-I1812</f>
        <v/>
      </c>
      <c r="K1812">
        <f>F1812-MIN(F1812,G1812)-I1812</f>
        <v/>
      </c>
    </row>
    <row r="1813">
      <c r="A1813" s="21">
        <f>IF(Rechner!$E$4&lt;&gt;"ok","",IF(Rechner!$E$5+1811&lt;=Rechner!$B$6,Rechner!$E$5+1811,""))</f>
        <v/>
      </c>
      <c r="B1813">
        <f>IF(A1813="","",LOOKUP(A1813,Basiszins!$A$5:$A$18,Basiszins!$B$5:$B$18))</f>
        <v/>
      </c>
      <c r="C1813">
        <f>IF(A1813="","",B1813+Rechner!$E$7)</f>
        <v/>
      </c>
      <c r="D1813">
        <f>J1812</f>
        <v/>
      </c>
      <c r="E1813">
        <f>IF(A1813="",0,D1813*C1813/100/(DATE(YEAR(A1813)+1,1,1)-DATE(YEAR(A1813),1,1)))</f>
        <v/>
      </c>
      <c r="F1813">
        <f>IF(A1813="",0,SUMIF(Rechner!$A$12:$A$21,A1813,Rechner!$B$12:$B$21))</f>
        <v/>
      </c>
      <c r="G1813">
        <f>H1812+E1813</f>
        <v/>
      </c>
      <c r="H1813">
        <f>G1813-MIN(F1813,G1813)</f>
        <v/>
      </c>
      <c r="I1813">
        <f>MIN(F1813-MIN(F1813,G1813),D1813)</f>
        <v/>
      </c>
      <c r="J1813">
        <f>D1813-I1813</f>
        <v/>
      </c>
      <c r="K1813">
        <f>F1813-MIN(F1813,G1813)-I1813</f>
        <v/>
      </c>
    </row>
    <row r="1814">
      <c r="A1814" s="21">
        <f>IF(Rechner!$E$4&lt;&gt;"ok","",IF(Rechner!$E$5+1812&lt;=Rechner!$B$6,Rechner!$E$5+1812,""))</f>
        <v/>
      </c>
      <c r="B1814">
        <f>IF(A1814="","",LOOKUP(A1814,Basiszins!$A$5:$A$18,Basiszins!$B$5:$B$18))</f>
        <v/>
      </c>
      <c r="C1814">
        <f>IF(A1814="","",B1814+Rechner!$E$7)</f>
        <v/>
      </c>
      <c r="D1814">
        <f>J1813</f>
        <v/>
      </c>
      <c r="E1814">
        <f>IF(A1814="",0,D1814*C1814/100/(DATE(YEAR(A1814)+1,1,1)-DATE(YEAR(A1814),1,1)))</f>
        <v/>
      </c>
      <c r="F1814">
        <f>IF(A1814="",0,SUMIF(Rechner!$A$12:$A$21,A1814,Rechner!$B$12:$B$21))</f>
        <v/>
      </c>
      <c r="G1814">
        <f>H1813+E1814</f>
        <v/>
      </c>
      <c r="H1814">
        <f>G1814-MIN(F1814,G1814)</f>
        <v/>
      </c>
      <c r="I1814">
        <f>MIN(F1814-MIN(F1814,G1814),D1814)</f>
        <v/>
      </c>
      <c r="J1814">
        <f>D1814-I1814</f>
        <v/>
      </c>
      <c r="K1814">
        <f>F1814-MIN(F1814,G1814)-I1814</f>
        <v/>
      </c>
    </row>
    <row r="1815">
      <c r="A1815" s="21">
        <f>IF(Rechner!$E$4&lt;&gt;"ok","",IF(Rechner!$E$5+1813&lt;=Rechner!$B$6,Rechner!$E$5+1813,""))</f>
        <v/>
      </c>
      <c r="B1815">
        <f>IF(A1815="","",LOOKUP(A1815,Basiszins!$A$5:$A$18,Basiszins!$B$5:$B$18))</f>
        <v/>
      </c>
      <c r="C1815">
        <f>IF(A1815="","",B1815+Rechner!$E$7)</f>
        <v/>
      </c>
      <c r="D1815">
        <f>J1814</f>
        <v/>
      </c>
      <c r="E1815">
        <f>IF(A1815="",0,D1815*C1815/100/(DATE(YEAR(A1815)+1,1,1)-DATE(YEAR(A1815),1,1)))</f>
        <v/>
      </c>
      <c r="F1815">
        <f>IF(A1815="",0,SUMIF(Rechner!$A$12:$A$21,A1815,Rechner!$B$12:$B$21))</f>
        <v/>
      </c>
      <c r="G1815">
        <f>H1814+E1815</f>
        <v/>
      </c>
      <c r="H1815">
        <f>G1815-MIN(F1815,G1815)</f>
        <v/>
      </c>
      <c r="I1815">
        <f>MIN(F1815-MIN(F1815,G1815),D1815)</f>
        <v/>
      </c>
      <c r="J1815">
        <f>D1815-I1815</f>
        <v/>
      </c>
      <c r="K1815">
        <f>F1815-MIN(F1815,G1815)-I1815</f>
        <v/>
      </c>
    </row>
    <row r="1816">
      <c r="A1816" s="21">
        <f>IF(Rechner!$E$4&lt;&gt;"ok","",IF(Rechner!$E$5+1814&lt;=Rechner!$B$6,Rechner!$E$5+1814,""))</f>
        <v/>
      </c>
      <c r="B1816">
        <f>IF(A1816="","",LOOKUP(A1816,Basiszins!$A$5:$A$18,Basiszins!$B$5:$B$18))</f>
        <v/>
      </c>
      <c r="C1816">
        <f>IF(A1816="","",B1816+Rechner!$E$7)</f>
        <v/>
      </c>
      <c r="D1816">
        <f>J1815</f>
        <v/>
      </c>
      <c r="E1816">
        <f>IF(A1816="",0,D1816*C1816/100/(DATE(YEAR(A1816)+1,1,1)-DATE(YEAR(A1816),1,1)))</f>
        <v/>
      </c>
      <c r="F1816">
        <f>IF(A1816="",0,SUMIF(Rechner!$A$12:$A$21,A1816,Rechner!$B$12:$B$21))</f>
        <v/>
      </c>
      <c r="G1816">
        <f>H1815+E1816</f>
        <v/>
      </c>
      <c r="H1816">
        <f>G1816-MIN(F1816,G1816)</f>
        <v/>
      </c>
      <c r="I1816">
        <f>MIN(F1816-MIN(F1816,G1816),D1816)</f>
        <v/>
      </c>
      <c r="J1816">
        <f>D1816-I1816</f>
        <v/>
      </c>
      <c r="K1816">
        <f>F1816-MIN(F1816,G1816)-I1816</f>
        <v/>
      </c>
    </row>
    <row r="1817">
      <c r="A1817" s="21">
        <f>IF(Rechner!$E$4&lt;&gt;"ok","",IF(Rechner!$E$5+1815&lt;=Rechner!$B$6,Rechner!$E$5+1815,""))</f>
        <v/>
      </c>
      <c r="B1817">
        <f>IF(A1817="","",LOOKUP(A1817,Basiszins!$A$5:$A$18,Basiszins!$B$5:$B$18))</f>
        <v/>
      </c>
      <c r="C1817">
        <f>IF(A1817="","",B1817+Rechner!$E$7)</f>
        <v/>
      </c>
      <c r="D1817">
        <f>J1816</f>
        <v/>
      </c>
      <c r="E1817">
        <f>IF(A1817="",0,D1817*C1817/100/(DATE(YEAR(A1817)+1,1,1)-DATE(YEAR(A1817),1,1)))</f>
        <v/>
      </c>
      <c r="F1817">
        <f>IF(A1817="",0,SUMIF(Rechner!$A$12:$A$21,A1817,Rechner!$B$12:$B$21))</f>
        <v/>
      </c>
      <c r="G1817">
        <f>H1816+E1817</f>
        <v/>
      </c>
      <c r="H1817">
        <f>G1817-MIN(F1817,G1817)</f>
        <v/>
      </c>
      <c r="I1817">
        <f>MIN(F1817-MIN(F1817,G1817),D1817)</f>
        <v/>
      </c>
      <c r="J1817">
        <f>D1817-I1817</f>
        <v/>
      </c>
      <c r="K1817">
        <f>F1817-MIN(F1817,G1817)-I1817</f>
        <v/>
      </c>
    </row>
    <row r="1818">
      <c r="A1818" s="21">
        <f>IF(Rechner!$E$4&lt;&gt;"ok","",IF(Rechner!$E$5+1816&lt;=Rechner!$B$6,Rechner!$E$5+1816,""))</f>
        <v/>
      </c>
      <c r="B1818">
        <f>IF(A1818="","",LOOKUP(A1818,Basiszins!$A$5:$A$18,Basiszins!$B$5:$B$18))</f>
        <v/>
      </c>
      <c r="C1818">
        <f>IF(A1818="","",B1818+Rechner!$E$7)</f>
        <v/>
      </c>
      <c r="D1818">
        <f>J1817</f>
        <v/>
      </c>
      <c r="E1818">
        <f>IF(A1818="",0,D1818*C1818/100/(DATE(YEAR(A1818)+1,1,1)-DATE(YEAR(A1818),1,1)))</f>
        <v/>
      </c>
      <c r="F1818">
        <f>IF(A1818="",0,SUMIF(Rechner!$A$12:$A$21,A1818,Rechner!$B$12:$B$21))</f>
        <v/>
      </c>
      <c r="G1818">
        <f>H1817+E1818</f>
        <v/>
      </c>
      <c r="H1818">
        <f>G1818-MIN(F1818,G1818)</f>
        <v/>
      </c>
      <c r="I1818">
        <f>MIN(F1818-MIN(F1818,G1818),D1818)</f>
        <v/>
      </c>
      <c r="J1818">
        <f>D1818-I1818</f>
        <v/>
      </c>
      <c r="K1818">
        <f>F1818-MIN(F1818,G1818)-I1818</f>
        <v/>
      </c>
    </row>
    <row r="1819">
      <c r="A1819" s="21">
        <f>IF(Rechner!$E$4&lt;&gt;"ok","",IF(Rechner!$E$5+1817&lt;=Rechner!$B$6,Rechner!$E$5+1817,""))</f>
        <v/>
      </c>
      <c r="B1819">
        <f>IF(A1819="","",LOOKUP(A1819,Basiszins!$A$5:$A$18,Basiszins!$B$5:$B$18))</f>
        <v/>
      </c>
      <c r="C1819">
        <f>IF(A1819="","",B1819+Rechner!$E$7)</f>
        <v/>
      </c>
      <c r="D1819">
        <f>J1818</f>
        <v/>
      </c>
      <c r="E1819">
        <f>IF(A1819="",0,D1819*C1819/100/(DATE(YEAR(A1819)+1,1,1)-DATE(YEAR(A1819),1,1)))</f>
        <v/>
      </c>
      <c r="F1819">
        <f>IF(A1819="",0,SUMIF(Rechner!$A$12:$A$21,A1819,Rechner!$B$12:$B$21))</f>
        <v/>
      </c>
      <c r="G1819">
        <f>H1818+E1819</f>
        <v/>
      </c>
      <c r="H1819">
        <f>G1819-MIN(F1819,G1819)</f>
        <v/>
      </c>
      <c r="I1819">
        <f>MIN(F1819-MIN(F1819,G1819),D1819)</f>
        <v/>
      </c>
      <c r="J1819">
        <f>D1819-I1819</f>
        <v/>
      </c>
      <c r="K1819">
        <f>F1819-MIN(F1819,G1819)-I1819</f>
        <v/>
      </c>
    </row>
    <row r="1820">
      <c r="A1820" s="21">
        <f>IF(Rechner!$E$4&lt;&gt;"ok","",IF(Rechner!$E$5+1818&lt;=Rechner!$B$6,Rechner!$E$5+1818,""))</f>
        <v/>
      </c>
      <c r="B1820">
        <f>IF(A1820="","",LOOKUP(A1820,Basiszins!$A$5:$A$18,Basiszins!$B$5:$B$18))</f>
        <v/>
      </c>
      <c r="C1820">
        <f>IF(A1820="","",B1820+Rechner!$E$7)</f>
        <v/>
      </c>
      <c r="D1820">
        <f>J1819</f>
        <v/>
      </c>
      <c r="E1820">
        <f>IF(A1820="",0,D1820*C1820/100/(DATE(YEAR(A1820)+1,1,1)-DATE(YEAR(A1820),1,1)))</f>
        <v/>
      </c>
      <c r="F1820">
        <f>IF(A1820="",0,SUMIF(Rechner!$A$12:$A$21,A1820,Rechner!$B$12:$B$21))</f>
        <v/>
      </c>
      <c r="G1820">
        <f>H1819+E1820</f>
        <v/>
      </c>
      <c r="H1820">
        <f>G1820-MIN(F1820,G1820)</f>
        <v/>
      </c>
      <c r="I1820">
        <f>MIN(F1820-MIN(F1820,G1820),D1820)</f>
        <v/>
      </c>
      <c r="J1820">
        <f>D1820-I1820</f>
        <v/>
      </c>
      <c r="K1820">
        <f>F1820-MIN(F1820,G1820)-I1820</f>
        <v/>
      </c>
    </row>
    <row r="1821">
      <c r="A1821" s="21">
        <f>IF(Rechner!$E$4&lt;&gt;"ok","",IF(Rechner!$E$5+1819&lt;=Rechner!$B$6,Rechner!$E$5+1819,""))</f>
        <v/>
      </c>
      <c r="B1821">
        <f>IF(A1821="","",LOOKUP(A1821,Basiszins!$A$5:$A$18,Basiszins!$B$5:$B$18))</f>
        <v/>
      </c>
      <c r="C1821">
        <f>IF(A1821="","",B1821+Rechner!$E$7)</f>
        <v/>
      </c>
      <c r="D1821">
        <f>J1820</f>
        <v/>
      </c>
      <c r="E1821">
        <f>IF(A1821="",0,D1821*C1821/100/(DATE(YEAR(A1821)+1,1,1)-DATE(YEAR(A1821),1,1)))</f>
        <v/>
      </c>
      <c r="F1821">
        <f>IF(A1821="",0,SUMIF(Rechner!$A$12:$A$21,A1821,Rechner!$B$12:$B$21))</f>
        <v/>
      </c>
      <c r="G1821">
        <f>H1820+E1821</f>
        <v/>
      </c>
      <c r="H1821">
        <f>G1821-MIN(F1821,G1821)</f>
        <v/>
      </c>
      <c r="I1821">
        <f>MIN(F1821-MIN(F1821,G1821),D1821)</f>
        <v/>
      </c>
      <c r="J1821">
        <f>D1821-I1821</f>
        <v/>
      </c>
      <c r="K1821">
        <f>F1821-MIN(F1821,G1821)-I1821</f>
        <v/>
      </c>
    </row>
    <row r="1822">
      <c r="A1822" s="21">
        <f>IF(Rechner!$E$4&lt;&gt;"ok","",IF(Rechner!$E$5+1820&lt;=Rechner!$B$6,Rechner!$E$5+1820,""))</f>
        <v/>
      </c>
      <c r="B1822">
        <f>IF(A1822="","",LOOKUP(A1822,Basiszins!$A$5:$A$18,Basiszins!$B$5:$B$18))</f>
        <v/>
      </c>
      <c r="C1822">
        <f>IF(A1822="","",B1822+Rechner!$E$7)</f>
        <v/>
      </c>
      <c r="D1822">
        <f>J1821</f>
        <v/>
      </c>
      <c r="E1822">
        <f>IF(A1822="",0,D1822*C1822/100/(DATE(YEAR(A1822)+1,1,1)-DATE(YEAR(A1822),1,1)))</f>
        <v/>
      </c>
      <c r="F1822">
        <f>IF(A1822="",0,SUMIF(Rechner!$A$12:$A$21,A1822,Rechner!$B$12:$B$21))</f>
        <v/>
      </c>
      <c r="G1822">
        <f>H1821+E1822</f>
        <v/>
      </c>
      <c r="H1822">
        <f>G1822-MIN(F1822,G1822)</f>
        <v/>
      </c>
      <c r="I1822">
        <f>MIN(F1822-MIN(F1822,G1822),D1822)</f>
        <v/>
      </c>
      <c r="J1822">
        <f>D1822-I1822</f>
        <v/>
      </c>
      <c r="K1822">
        <f>F1822-MIN(F1822,G1822)-I1822</f>
        <v/>
      </c>
    </row>
    <row r="1823">
      <c r="A1823" s="21">
        <f>IF(Rechner!$E$4&lt;&gt;"ok","",IF(Rechner!$E$5+1821&lt;=Rechner!$B$6,Rechner!$E$5+1821,""))</f>
        <v/>
      </c>
      <c r="B1823">
        <f>IF(A1823="","",LOOKUP(A1823,Basiszins!$A$5:$A$18,Basiszins!$B$5:$B$18))</f>
        <v/>
      </c>
      <c r="C1823">
        <f>IF(A1823="","",B1823+Rechner!$E$7)</f>
        <v/>
      </c>
      <c r="D1823">
        <f>J1822</f>
        <v/>
      </c>
      <c r="E1823">
        <f>IF(A1823="",0,D1823*C1823/100/(DATE(YEAR(A1823)+1,1,1)-DATE(YEAR(A1823),1,1)))</f>
        <v/>
      </c>
      <c r="F1823">
        <f>IF(A1823="",0,SUMIF(Rechner!$A$12:$A$21,A1823,Rechner!$B$12:$B$21))</f>
        <v/>
      </c>
      <c r="G1823">
        <f>H1822+E1823</f>
        <v/>
      </c>
      <c r="H1823">
        <f>G1823-MIN(F1823,G1823)</f>
        <v/>
      </c>
      <c r="I1823">
        <f>MIN(F1823-MIN(F1823,G1823),D1823)</f>
        <v/>
      </c>
      <c r="J1823">
        <f>D1823-I1823</f>
        <v/>
      </c>
      <c r="K1823">
        <f>F1823-MIN(F1823,G1823)-I1823</f>
        <v/>
      </c>
    </row>
    <row r="1824">
      <c r="A1824" s="21">
        <f>IF(Rechner!$E$4&lt;&gt;"ok","",IF(Rechner!$E$5+1822&lt;=Rechner!$B$6,Rechner!$E$5+1822,""))</f>
        <v/>
      </c>
      <c r="B1824">
        <f>IF(A1824="","",LOOKUP(A1824,Basiszins!$A$5:$A$18,Basiszins!$B$5:$B$18))</f>
        <v/>
      </c>
      <c r="C1824">
        <f>IF(A1824="","",B1824+Rechner!$E$7)</f>
        <v/>
      </c>
      <c r="D1824">
        <f>J1823</f>
        <v/>
      </c>
      <c r="E1824">
        <f>IF(A1824="",0,D1824*C1824/100/(DATE(YEAR(A1824)+1,1,1)-DATE(YEAR(A1824),1,1)))</f>
        <v/>
      </c>
      <c r="F1824">
        <f>IF(A1824="",0,SUMIF(Rechner!$A$12:$A$21,A1824,Rechner!$B$12:$B$21))</f>
        <v/>
      </c>
      <c r="G1824">
        <f>H1823+E1824</f>
        <v/>
      </c>
      <c r="H1824">
        <f>G1824-MIN(F1824,G1824)</f>
        <v/>
      </c>
      <c r="I1824">
        <f>MIN(F1824-MIN(F1824,G1824),D1824)</f>
        <v/>
      </c>
      <c r="J1824">
        <f>D1824-I1824</f>
        <v/>
      </c>
      <c r="K1824">
        <f>F1824-MIN(F1824,G1824)-I1824</f>
        <v/>
      </c>
    </row>
    <row r="1825">
      <c r="A1825" s="21">
        <f>IF(Rechner!$E$4&lt;&gt;"ok","",IF(Rechner!$E$5+1823&lt;=Rechner!$B$6,Rechner!$E$5+1823,""))</f>
        <v/>
      </c>
      <c r="B1825">
        <f>IF(A1825="","",LOOKUP(A1825,Basiszins!$A$5:$A$18,Basiszins!$B$5:$B$18))</f>
        <v/>
      </c>
      <c r="C1825">
        <f>IF(A1825="","",B1825+Rechner!$E$7)</f>
        <v/>
      </c>
      <c r="D1825">
        <f>J1824</f>
        <v/>
      </c>
      <c r="E1825">
        <f>IF(A1825="",0,D1825*C1825/100/(DATE(YEAR(A1825)+1,1,1)-DATE(YEAR(A1825),1,1)))</f>
        <v/>
      </c>
      <c r="F1825">
        <f>IF(A1825="",0,SUMIF(Rechner!$A$12:$A$21,A1825,Rechner!$B$12:$B$21))</f>
        <v/>
      </c>
      <c r="G1825">
        <f>H1824+E1825</f>
        <v/>
      </c>
      <c r="H1825">
        <f>G1825-MIN(F1825,G1825)</f>
        <v/>
      </c>
      <c r="I1825">
        <f>MIN(F1825-MIN(F1825,G1825),D1825)</f>
        <v/>
      </c>
      <c r="J1825">
        <f>D1825-I1825</f>
        <v/>
      </c>
      <c r="K1825">
        <f>F1825-MIN(F1825,G1825)-I1825</f>
        <v/>
      </c>
    </row>
    <row r="1826">
      <c r="A1826" s="21">
        <f>IF(Rechner!$E$4&lt;&gt;"ok","",IF(Rechner!$E$5+1824&lt;=Rechner!$B$6,Rechner!$E$5+1824,""))</f>
        <v/>
      </c>
      <c r="B1826">
        <f>IF(A1826="","",LOOKUP(A1826,Basiszins!$A$5:$A$18,Basiszins!$B$5:$B$18))</f>
        <v/>
      </c>
      <c r="C1826">
        <f>IF(A1826="","",B1826+Rechner!$E$7)</f>
        <v/>
      </c>
      <c r="D1826">
        <f>J1825</f>
        <v/>
      </c>
      <c r="E1826">
        <f>IF(A1826="",0,D1826*C1826/100/(DATE(YEAR(A1826)+1,1,1)-DATE(YEAR(A1826),1,1)))</f>
        <v/>
      </c>
      <c r="F1826">
        <f>IF(A1826="",0,SUMIF(Rechner!$A$12:$A$21,A1826,Rechner!$B$12:$B$21))</f>
        <v/>
      </c>
      <c r="G1826">
        <f>H1825+E1826</f>
        <v/>
      </c>
      <c r="H1826">
        <f>G1826-MIN(F1826,G1826)</f>
        <v/>
      </c>
      <c r="I1826">
        <f>MIN(F1826-MIN(F1826,G1826),D1826)</f>
        <v/>
      </c>
      <c r="J1826">
        <f>D1826-I1826</f>
        <v/>
      </c>
      <c r="K1826">
        <f>F1826-MIN(F1826,G1826)-I1826</f>
        <v/>
      </c>
    </row>
    <row r="1827">
      <c r="A1827" s="21">
        <f>IF(Rechner!$E$4&lt;&gt;"ok","",IF(Rechner!$E$5+1825&lt;=Rechner!$B$6,Rechner!$E$5+1825,""))</f>
        <v/>
      </c>
      <c r="B1827">
        <f>IF(A1827="","",LOOKUP(A1827,Basiszins!$A$5:$A$18,Basiszins!$B$5:$B$18))</f>
        <v/>
      </c>
      <c r="C1827">
        <f>IF(A1827="","",B1827+Rechner!$E$7)</f>
        <v/>
      </c>
      <c r="D1827">
        <f>J1826</f>
        <v/>
      </c>
      <c r="E1827">
        <f>IF(A1827="",0,D1827*C1827/100/(DATE(YEAR(A1827)+1,1,1)-DATE(YEAR(A1827),1,1)))</f>
        <v/>
      </c>
      <c r="F1827">
        <f>IF(A1827="",0,SUMIF(Rechner!$A$12:$A$21,A1827,Rechner!$B$12:$B$21))</f>
        <v/>
      </c>
      <c r="G1827">
        <f>H1826+E1827</f>
        <v/>
      </c>
      <c r="H1827">
        <f>G1827-MIN(F1827,G1827)</f>
        <v/>
      </c>
      <c r="I1827">
        <f>MIN(F1827-MIN(F1827,G1827),D1827)</f>
        <v/>
      </c>
      <c r="J1827">
        <f>D1827-I1827</f>
        <v/>
      </c>
      <c r="K1827">
        <f>F1827-MIN(F1827,G1827)-I1827</f>
        <v/>
      </c>
    </row>
    <row r="1828">
      <c r="A1828" s="21">
        <f>IF(Rechner!$E$4&lt;&gt;"ok","",IF(Rechner!$E$5+1826&lt;=Rechner!$B$6,Rechner!$E$5+1826,""))</f>
        <v/>
      </c>
      <c r="B1828">
        <f>IF(A1828="","",LOOKUP(A1828,Basiszins!$A$5:$A$18,Basiszins!$B$5:$B$18))</f>
        <v/>
      </c>
      <c r="C1828">
        <f>IF(A1828="","",B1828+Rechner!$E$7)</f>
        <v/>
      </c>
      <c r="D1828">
        <f>J1827</f>
        <v/>
      </c>
      <c r="E1828">
        <f>IF(A1828="",0,D1828*C1828/100/(DATE(YEAR(A1828)+1,1,1)-DATE(YEAR(A1828),1,1)))</f>
        <v/>
      </c>
      <c r="F1828">
        <f>IF(A1828="",0,SUMIF(Rechner!$A$12:$A$21,A1828,Rechner!$B$12:$B$21))</f>
        <v/>
      </c>
      <c r="G1828">
        <f>H1827+E1828</f>
        <v/>
      </c>
      <c r="H1828">
        <f>G1828-MIN(F1828,G1828)</f>
        <v/>
      </c>
      <c r="I1828">
        <f>MIN(F1828-MIN(F1828,G1828),D1828)</f>
        <v/>
      </c>
      <c r="J1828">
        <f>D1828-I1828</f>
        <v/>
      </c>
      <c r="K1828">
        <f>F1828-MIN(F1828,G1828)-I1828</f>
        <v/>
      </c>
    </row>
    <row r="1829">
      <c r="A1829" s="21">
        <f>IF(Rechner!$E$4&lt;&gt;"ok","",IF(Rechner!$E$5+1827&lt;=Rechner!$B$6,Rechner!$E$5+1827,""))</f>
        <v/>
      </c>
      <c r="B1829">
        <f>IF(A1829="","",LOOKUP(A1829,Basiszins!$A$5:$A$18,Basiszins!$B$5:$B$18))</f>
        <v/>
      </c>
      <c r="C1829">
        <f>IF(A1829="","",B1829+Rechner!$E$7)</f>
        <v/>
      </c>
      <c r="D1829">
        <f>J1828</f>
        <v/>
      </c>
      <c r="E1829">
        <f>IF(A1829="",0,D1829*C1829/100/(DATE(YEAR(A1829)+1,1,1)-DATE(YEAR(A1829),1,1)))</f>
        <v/>
      </c>
      <c r="F1829">
        <f>IF(A1829="",0,SUMIF(Rechner!$A$12:$A$21,A1829,Rechner!$B$12:$B$21))</f>
        <v/>
      </c>
      <c r="G1829">
        <f>H1828+E1829</f>
        <v/>
      </c>
      <c r="H1829">
        <f>G1829-MIN(F1829,G1829)</f>
        <v/>
      </c>
      <c r="I1829">
        <f>MIN(F1829-MIN(F1829,G1829),D1829)</f>
        <v/>
      </c>
      <c r="J1829">
        <f>D1829-I1829</f>
        <v/>
      </c>
      <c r="K1829">
        <f>F1829-MIN(F1829,G1829)-I1829</f>
        <v/>
      </c>
    </row>
    <row r="1830">
      <c r="A1830" s="21">
        <f>IF(Rechner!$E$4&lt;&gt;"ok","",IF(Rechner!$E$5+1828&lt;=Rechner!$B$6,Rechner!$E$5+1828,""))</f>
        <v/>
      </c>
      <c r="B1830">
        <f>IF(A1830="","",LOOKUP(A1830,Basiszins!$A$5:$A$18,Basiszins!$B$5:$B$18))</f>
        <v/>
      </c>
      <c r="C1830">
        <f>IF(A1830="","",B1830+Rechner!$E$7)</f>
        <v/>
      </c>
      <c r="D1830">
        <f>J1829</f>
        <v/>
      </c>
      <c r="E1830">
        <f>IF(A1830="",0,D1830*C1830/100/(DATE(YEAR(A1830)+1,1,1)-DATE(YEAR(A1830),1,1)))</f>
        <v/>
      </c>
      <c r="F1830">
        <f>IF(A1830="",0,SUMIF(Rechner!$A$12:$A$21,A1830,Rechner!$B$12:$B$21))</f>
        <v/>
      </c>
      <c r="G1830">
        <f>H1829+E1830</f>
        <v/>
      </c>
      <c r="H1830">
        <f>G1830-MIN(F1830,G1830)</f>
        <v/>
      </c>
      <c r="I1830">
        <f>MIN(F1830-MIN(F1830,G1830),D1830)</f>
        <v/>
      </c>
      <c r="J1830">
        <f>D1830-I1830</f>
        <v/>
      </c>
      <c r="K1830">
        <f>F1830-MIN(F1830,G1830)-I1830</f>
        <v/>
      </c>
    </row>
    <row r="1831">
      <c r="A1831" s="21">
        <f>IF(Rechner!$E$4&lt;&gt;"ok","",IF(Rechner!$E$5+1829&lt;=Rechner!$B$6,Rechner!$E$5+1829,""))</f>
        <v/>
      </c>
      <c r="B1831">
        <f>IF(A1831="","",LOOKUP(A1831,Basiszins!$A$5:$A$18,Basiszins!$B$5:$B$18))</f>
        <v/>
      </c>
      <c r="C1831">
        <f>IF(A1831="","",B1831+Rechner!$E$7)</f>
        <v/>
      </c>
      <c r="D1831">
        <f>J1830</f>
        <v/>
      </c>
      <c r="E1831">
        <f>IF(A1831="",0,D1831*C1831/100/(DATE(YEAR(A1831)+1,1,1)-DATE(YEAR(A1831),1,1)))</f>
        <v/>
      </c>
      <c r="F1831">
        <f>IF(A1831="",0,SUMIF(Rechner!$A$12:$A$21,A1831,Rechner!$B$12:$B$21))</f>
        <v/>
      </c>
      <c r="G1831">
        <f>H1830+E1831</f>
        <v/>
      </c>
      <c r="H1831">
        <f>G1831-MIN(F1831,G1831)</f>
        <v/>
      </c>
      <c r="I1831">
        <f>MIN(F1831-MIN(F1831,G1831),D1831)</f>
        <v/>
      </c>
      <c r="J1831">
        <f>D1831-I1831</f>
        <v/>
      </c>
      <c r="K1831">
        <f>F1831-MIN(F1831,G1831)-I1831</f>
        <v/>
      </c>
    </row>
    <row r="1832">
      <c r="A1832" s="21">
        <f>IF(Rechner!$E$4&lt;&gt;"ok","",IF(Rechner!$E$5+1830&lt;=Rechner!$B$6,Rechner!$E$5+1830,""))</f>
        <v/>
      </c>
      <c r="B1832">
        <f>IF(A1832="","",LOOKUP(A1832,Basiszins!$A$5:$A$18,Basiszins!$B$5:$B$18))</f>
        <v/>
      </c>
      <c r="C1832">
        <f>IF(A1832="","",B1832+Rechner!$E$7)</f>
        <v/>
      </c>
      <c r="D1832">
        <f>J1831</f>
        <v/>
      </c>
      <c r="E1832">
        <f>IF(A1832="",0,D1832*C1832/100/(DATE(YEAR(A1832)+1,1,1)-DATE(YEAR(A1832),1,1)))</f>
        <v/>
      </c>
      <c r="F1832">
        <f>IF(A1832="",0,SUMIF(Rechner!$A$12:$A$21,A1832,Rechner!$B$12:$B$21))</f>
        <v/>
      </c>
      <c r="G1832">
        <f>H1831+E1832</f>
        <v/>
      </c>
      <c r="H1832">
        <f>G1832-MIN(F1832,G1832)</f>
        <v/>
      </c>
      <c r="I1832">
        <f>MIN(F1832-MIN(F1832,G1832),D1832)</f>
        <v/>
      </c>
      <c r="J1832">
        <f>D1832-I1832</f>
        <v/>
      </c>
      <c r="K1832">
        <f>F1832-MIN(F1832,G1832)-I1832</f>
        <v/>
      </c>
    </row>
    <row r="1833">
      <c r="A1833" s="21">
        <f>IF(Rechner!$E$4&lt;&gt;"ok","",IF(Rechner!$E$5+1831&lt;=Rechner!$B$6,Rechner!$E$5+1831,""))</f>
        <v/>
      </c>
      <c r="B1833">
        <f>IF(A1833="","",LOOKUP(A1833,Basiszins!$A$5:$A$18,Basiszins!$B$5:$B$18))</f>
        <v/>
      </c>
      <c r="C1833">
        <f>IF(A1833="","",B1833+Rechner!$E$7)</f>
        <v/>
      </c>
      <c r="D1833">
        <f>J1832</f>
        <v/>
      </c>
      <c r="E1833">
        <f>IF(A1833="",0,D1833*C1833/100/(DATE(YEAR(A1833)+1,1,1)-DATE(YEAR(A1833),1,1)))</f>
        <v/>
      </c>
      <c r="F1833">
        <f>IF(A1833="",0,SUMIF(Rechner!$A$12:$A$21,A1833,Rechner!$B$12:$B$21))</f>
        <v/>
      </c>
      <c r="G1833">
        <f>H1832+E1833</f>
        <v/>
      </c>
      <c r="H1833">
        <f>G1833-MIN(F1833,G1833)</f>
        <v/>
      </c>
      <c r="I1833">
        <f>MIN(F1833-MIN(F1833,G1833),D1833)</f>
        <v/>
      </c>
      <c r="J1833">
        <f>D1833-I1833</f>
        <v/>
      </c>
      <c r="K1833">
        <f>F1833-MIN(F1833,G1833)-I1833</f>
        <v/>
      </c>
    </row>
    <row r="1834">
      <c r="A1834" s="21">
        <f>IF(Rechner!$E$4&lt;&gt;"ok","",IF(Rechner!$E$5+1832&lt;=Rechner!$B$6,Rechner!$E$5+1832,""))</f>
        <v/>
      </c>
      <c r="B1834">
        <f>IF(A1834="","",LOOKUP(A1834,Basiszins!$A$5:$A$18,Basiszins!$B$5:$B$18))</f>
        <v/>
      </c>
      <c r="C1834">
        <f>IF(A1834="","",B1834+Rechner!$E$7)</f>
        <v/>
      </c>
      <c r="D1834">
        <f>J1833</f>
        <v/>
      </c>
      <c r="E1834">
        <f>IF(A1834="",0,D1834*C1834/100/(DATE(YEAR(A1834)+1,1,1)-DATE(YEAR(A1834),1,1)))</f>
        <v/>
      </c>
      <c r="F1834">
        <f>IF(A1834="",0,SUMIF(Rechner!$A$12:$A$21,A1834,Rechner!$B$12:$B$21))</f>
        <v/>
      </c>
      <c r="G1834">
        <f>H1833+E1834</f>
        <v/>
      </c>
      <c r="H1834">
        <f>G1834-MIN(F1834,G1834)</f>
        <v/>
      </c>
      <c r="I1834">
        <f>MIN(F1834-MIN(F1834,G1834),D1834)</f>
        <v/>
      </c>
      <c r="J1834">
        <f>D1834-I1834</f>
        <v/>
      </c>
      <c r="K1834">
        <f>F1834-MIN(F1834,G1834)-I1834</f>
        <v/>
      </c>
    </row>
    <row r="1835">
      <c r="A1835" s="21">
        <f>IF(Rechner!$E$4&lt;&gt;"ok","",IF(Rechner!$E$5+1833&lt;=Rechner!$B$6,Rechner!$E$5+1833,""))</f>
        <v/>
      </c>
      <c r="B1835">
        <f>IF(A1835="","",LOOKUP(A1835,Basiszins!$A$5:$A$18,Basiszins!$B$5:$B$18))</f>
        <v/>
      </c>
      <c r="C1835">
        <f>IF(A1835="","",B1835+Rechner!$E$7)</f>
        <v/>
      </c>
      <c r="D1835">
        <f>J1834</f>
        <v/>
      </c>
      <c r="E1835">
        <f>IF(A1835="",0,D1835*C1835/100/(DATE(YEAR(A1835)+1,1,1)-DATE(YEAR(A1835),1,1)))</f>
        <v/>
      </c>
      <c r="F1835">
        <f>IF(A1835="",0,SUMIF(Rechner!$A$12:$A$21,A1835,Rechner!$B$12:$B$21))</f>
        <v/>
      </c>
      <c r="G1835">
        <f>H1834+E1835</f>
        <v/>
      </c>
      <c r="H1835">
        <f>G1835-MIN(F1835,G1835)</f>
        <v/>
      </c>
      <c r="I1835">
        <f>MIN(F1835-MIN(F1835,G1835),D1835)</f>
        <v/>
      </c>
      <c r="J1835">
        <f>D1835-I1835</f>
        <v/>
      </c>
      <c r="K1835">
        <f>F1835-MIN(F1835,G1835)-I1835</f>
        <v/>
      </c>
    </row>
    <row r="1836">
      <c r="A1836" s="21">
        <f>IF(Rechner!$E$4&lt;&gt;"ok","",IF(Rechner!$E$5+1834&lt;=Rechner!$B$6,Rechner!$E$5+1834,""))</f>
        <v/>
      </c>
      <c r="B1836">
        <f>IF(A1836="","",LOOKUP(A1836,Basiszins!$A$5:$A$18,Basiszins!$B$5:$B$18))</f>
        <v/>
      </c>
      <c r="C1836">
        <f>IF(A1836="","",B1836+Rechner!$E$7)</f>
        <v/>
      </c>
      <c r="D1836">
        <f>J1835</f>
        <v/>
      </c>
      <c r="E1836">
        <f>IF(A1836="",0,D1836*C1836/100/(DATE(YEAR(A1836)+1,1,1)-DATE(YEAR(A1836),1,1)))</f>
        <v/>
      </c>
      <c r="F1836">
        <f>IF(A1836="",0,SUMIF(Rechner!$A$12:$A$21,A1836,Rechner!$B$12:$B$21))</f>
        <v/>
      </c>
      <c r="G1836">
        <f>H1835+E1836</f>
        <v/>
      </c>
      <c r="H1836">
        <f>G1836-MIN(F1836,G1836)</f>
        <v/>
      </c>
      <c r="I1836">
        <f>MIN(F1836-MIN(F1836,G1836),D1836)</f>
        <v/>
      </c>
      <c r="J1836">
        <f>D1836-I1836</f>
        <v/>
      </c>
      <c r="K1836">
        <f>F1836-MIN(F1836,G1836)-I1836</f>
        <v/>
      </c>
    </row>
    <row r="1837">
      <c r="A1837" s="21">
        <f>IF(Rechner!$E$4&lt;&gt;"ok","",IF(Rechner!$E$5+1835&lt;=Rechner!$B$6,Rechner!$E$5+1835,""))</f>
        <v/>
      </c>
      <c r="B1837">
        <f>IF(A1837="","",LOOKUP(A1837,Basiszins!$A$5:$A$18,Basiszins!$B$5:$B$18))</f>
        <v/>
      </c>
      <c r="C1837">
        <f>IF(A1837="","",B1837+Rechner!$E$7)</f>
        <v/>
      </c>
      <c r="D1837">
        <f>J1836</f>
        <v/>
      </c>
      <c r="E1837">
        <f>IF(A1837="",0,D1837*C1837/100/(DATE(YEAR(A1837)+1,1,1)-DATE(YEAR(A1837),1,1)))</f>
        <v/>
      </c>
      <c r="F1837">
        <f>IF(A1837="",0,SUMIF(Rechner!$A$12:$A$21,A1837,Rechner!$B$12:$B$21))</f>
        <v/>
      </c>
      <c r="G1837">
        <f>H1836+E1837</f>
        <v/>
      </c>
      <c r="H1837">
        <f>G1837-MIN(F1837,G1837)</f>
        <v/>
      </c>
      <c r="I1837">
        <f>MIN(F1837-MIN(F1837,G1837),D1837)</f>
        <v/>
      </c>
      <c r="J1837">
        <f>D1837-I1837</f>
        <v/>
      </c>
      <c r="K1837">
        <f>F1837-MIN(F1837,G1837)-I1837</f>
        <v/>
      </c>
    </row>
    <row r="1838">
      <c r="A1838" s="21">
        <f>IF(Rechner!$E$4&lt;&gt;"ok","",IF(Rechner!$E$5+1836&lt;=Rechner!$B$6,Rechner!$E$5+1836,""))</f>
        <v/>
      </c>
      <c r="B1838">
        <f>IF(A1838="","",LOOKUP(A1838,Basiszins!$A$5:$A$18,Basiszins!$B$5:$B$18))</f>
        <v/>
      </c>
      <c r="C1838">
        <f>IF(A1838="","",B1838+Rechner!$E$7)</f>
        <v/>
      </c>
      <c r="D1838">
        <f>J1837</f>
        <v/>
      </c>
      <c r="E1838">
        <f>IF(A1838="",0,D1838*C1838/100/(DATE(YEAR(A1838)+1,1,1)-DATE(YEAR(A1838),1,1)))</f>
        <v/>
      </c>
      <c r="F1838">
        <f>IF(A1838="",0,SUMIF(Rechner!$A$12:$A$21,A1838,Rechner!$B$12:$B$21))</f>
        <v/>
      </c>
      <c r="G1838">
        <f>H1837+E1838</f>
        <v/>
      </c>
      <c r="H1838">
        <f>G1838-MIN(F1838,G1838)</f>
        <v/>
      </c>
      <c r="I1838">
        <f>MIN(F1838-MIN(F1838,G1838),D1838)</f>
        <v/>
      </c>
      <c r="J1838">
        <f>D1838-I1838</f>
        <v/>
      </c>
      <c r="K1838">
        <f>F1838-MIN(F1838,G1838)-I1838</f>
        <v/>
      </c>
    </row>
    <row r="1839">
      <c r="A1839" s="21">
        <f>IF(Rechner!$E$4&lt;&gt;"ok","",IF(Rechner!$E$5+1837&lt;=Rechner!$B$6,Rechner!$E$5+1837,""))</f>
        <v/>
      </c>
      <c r="B1839">
        <f>IF(A1839="","",LOOKUP(A1839,Basiszins!$A$5:$A$18,Basiszins!$B$5:$B$18))</f>
        <v/>
      </c>
      <c r="C1839">
        <f>IF(A1839="","",B1839+Rechner!$E$7)</f>
        <v/>
      </c>
      <c r="D1839">
        <f>J1838</f>
        <v/>
      </c>
      <c r="E1839">
        <f>IF(A1839="",0,D1839*C1839/100/(DATE(YEAR(A1839)+1,1,1)-DATE(YEAR(A1839),1,1)))</f>
        <v/>
      </c>
      <c r="F1839">
        <f>IF(A1839="",0,SUMIF(Rechner!$A$12:$A$21,A1839,Rechner!$B$12:$B$21))</f>
        <v/>
      </c>
      <c r="G1839">
        <f>H1838+E1839</f>
        <v/>
      </c>
      <c r="H1839">
        <f>G1839-MIN(F1839,G1839)</f>
        <v/>
      </c>
      <c r="I1839">
        <f>MIN(F1839-MIN(F1839,G1839),D1839)</f>
        <v/>
      </c>
      <c r="J1839">
        <f>D1839-I1839</f>
        <v/>
      </c>
      <c r="K1839">
        <f>F1839-MIN(F1839,G1839)-I1839</f>
        <v/>
      </c>
    </row>
    <row r="1840">
      <c r="A1840" s="21">
        <f>IF(Rechner!$E$4&lt;&gt;"ok","",IF(Rechner!$E$5+1838&lt;=Rechner!$B$6,Rechner!$E$5+1838,""))</f>
        <v/>
      </c>
      <c r="B1840">
        <f>IF(A1840="","",LOOKUP(A1840,Basiszins!$A$5:$A$18,Basiszins!$B$5:$B$18))</f>
        <v/>
      </c>
      <c r="C1840">
        <f>IF(A1840="","",B1840+Rechner!$E$7)</f>
        <v/>
      </c>
      <c r="D1840">
        <f>J1839</f>
        <v/>
      </c>
      <c r="E1840">
        <f>IF(A1840="",0,D1840*C1840/100/(DATE(YEAR(A1840)+1,1,1)-DATE(YEAR(A1840),1,1)))</f>
        <v/>
      </c>
      <c r="F1840">
        <f>IF(A1840="",0,SUMIF(Rechner!$A$12:$A$21,A1840,Rechner!$B$12:$B$21))</f>
        <v/>
      </c>
      <c r="G1840">
        <f>H1839+E1840</f>
        <v/>
      </c>
      <c r="H1840">
        <f>G1840-MIN(F1840,G1840)</f>
        <v/>
      </c>
      <c r="I1840">
        <f>MIN(F1840-MIN(F1840,G1840),D1840)</f>
        <v/>
      </c>
      <c r="J1840">
        <f>D1840-I1840</f>
        <v/>
      </c>
      <c r="K1840">
        <f>F1840-MIN(F1840,G1840)-I1840</f>
        <v/>
      </c>
    </row>
    <row r="1841">
      <c r="A1841" s="21">
        <f>IF(Rechner!$E$4&lt;&gt;"ok","",IF(Rechner!$E$5+1839&lt;=Rechner!$B$6,Rechner!$E$5+1839,""))</f>
        <v/>
      </c>
      <c r="B1841">
        <f>IF(A1841="","",LOOKUP(A1841,Basiszins!$A$5:$A$18,Basiszins!$B$5:$B$18))</f>
        <v/>
      </c>
      <c r="C1841">
        <f>IF(A1841="","",B1841+Rechner!$E$7)</f>
        <v/>
      </c>
      <c r="D1841">
        <f>J1840</f>
        <v/>
      </c>
      <c r="E1841">
        <f>IF(A1841="",0,D1841*C1841/100/(DATE(YEAR(A1841)+1,1,1)-DATE(YEAR(A1841),1,1)))</f>
        <v/>
      </c>
      <c r="F1841">
        <f>IF(A1841="",0,SUMIF(Rechner!$A$12:$A$21,A1841,Rechner!$B$12:$B$21))</f>
        <v/>
      </c>
      <c r="G1841">
        <f>H1840+E1841</f>
        <v/>
      </c>
      <c r="H1841">
        <f>G1841-MIN(F1841,G1841)</f>
        <v/>
      </c>
      <c r="I1841">
        <f>MIN(F1841-MIN(F1841,G1841),D1841)</f>
        <v/>
      </c>
      <c r="J1841">
        <f>D1841-I1841</f>
        <v/>
      </c>
      <c r="K1841">
        <f>F1841-MIN(F1841,G1841)-I1841</f>
        <v/>
      </c>
    </row>
    <row r="1842">
      <c r="A1842" s="21">
        <f>IF(Rechner!$E$4&lt;&gt;"ok","",IF(Rechner!$E$5+1840&lt;=Rechner!$B$6,Rechner!$E$5+1840,""))</f>
        <v/>
      </c>
      <c r="B1842">
        <f>IF(A1842="","",LOOKUP(A1842,Basiszins!$A$5:$A$18,Basiszins!$B$5:$B$18))</f>
        <v/>
      </c>
      <c r="C1842">
        <f>IF(A1842="","",B1842+Rechner!$E$7)</f>
        <v/>
      </c>
      <c r="D1842">
        <f>J1841</f>
        <v/>
      </c>
      <c r="E1842">
        <f>IF(A1842="",0,D1842*C1842/100/(DATE(YEAR(A1842)+1,1,1)-DATE(YEAR(A1842),1,1)))</f>
        <v/>
      </c>
      <c r="F1842">
        <f>IF(A1842="",0,SUMIF(Rechner!$A$12:$A$21,A1842,Rechner!$B$12:$B$21))</f>
        <v/>
      </c>
      <c r="G1842">
        <f>H1841+E1842</f>
        <v/>
      </c>
      <c r="H1842">
        <f>G1842-MIN(F1842,G1842)</f>
        <v/>
      </c>
      <c r="I1842">
        <f>MIN(F1842-MIN(F1842,G1842),D1842)</f>
        <v/>
      </c>
      <c r="J1842">
        <f>D1842-I1842</f>
        <v/>
      </c>
      <c r="K1842">
        <f>F1842-MIN(F1842,G1842)-I1842</f>
        <v/>
      </c>
    </row>
    <row r="1843">
      <c r="A1843" s="21">
        <f>IF(Rechner!$E$4&lt;&gt;"ok","",IF(Rechner!$E$5+1841&lt;=Rechner!$B$6,Rechner!$E$5+1841,""))</f>
        <v/>
      </c>
      <c r="B1843">
        <f>IF(A1843="","",LOOKUP(A1843,Basiszins!$A$5:$A$18,Basiszins!$B$5:$B$18))</f>
        <v/>
      </c>
      <c r="C1843">
        <f>IF(A1843="","",B1843+Rechner!$E$7)</f>
        <v/>
      </c>
      <c r="D1843">
        <f>J1842</f>
        <v/>
      </c>
      <c r="E1843">
        <f>IF(A1843="",0,D1843*C1843/100/(DATE(YEAR(A1843)+1,1,1)-DATE(YEAR(A1843),1,1)))</f>
        <v/>
      </c>
      <c r="F1843">
        <f>IF(A1843="",0,SUMIF(Rechner!$A$12:$A$21,A1843,Rechner!$B$12:$B$21))</f>
        <v/>
      </c>
      <c r="G1843">
        <f>H1842+E1843</f>
        <v/>
      </c>
      <c r="H1843">
        <f>G1843-MIN(F1843,G1843)</f>
        <v/>
      </c>
      <c r="I1843">
        <f>MIN(F1843-MIN(F1843,G1843),D1843)</f>
        <v/>
      </c>
      <c r="J1843">
        <f>D1843-I1843</f>
        <v/>
      </c>
      <c r="K1843">
        <f>F1843-MIN(F1843,G1843)-I1843</f>
        <v/>
      </c>
    </row>
    <row r="1844">
      <c r="A1844" s="21">
        <f>IF(Rechner!$E$4&lt;&gt;"ok","",IF(Rechner!$E$5+1842&lt;=Rechner!$B$6,Rechner!$E$5+1842,""))</f>
        <v/>
      </c>
      <c r="B1844">
        <f>IF(A1844="","",LOOKUP(A1844,Basiszins!$A$5:$A$18,Basiszins!$B$5:$B$18))</f>
        <v/>
      </c>
      <c r="C1844">
        <f>IF(A1844="","",B1844+Rechner!$E$7)</f>
        <v/>
      </c>
      <c r="D1844">
        <f>J1843</f>
        <v/>
      </c>
      <c r="E1844">
        <f>IF(A1844="",0,D1844*C1844/100/(DATE(YEAR(A1844)+1,1,1)-DATE(YEAR(A1844),1,1)))</f>
        <v/>
      </c>
      <c r="F1844">
        <f>IF(A1844="",0,SUMIF(Rechner!$A$12:$A$21,A1844,Rechner!$B$12:$B$21))</f>
        <v/>
      </c>
      <c r="G1844">
        <f>H1843+E1844</f>
        <v/>
      </c>
      <c r="H1844">
        <f>G1844-MIN(F1844,G1844)</f>
        <v/>
      </c>
      <c r="I1844">
        <f>MIN(F1844-MIN(F1844,G1844),D1844)</f>
        <v/>
      </c>
      <c r="J1844">
        <f>D1844-I1844</f>
        <v/>
      </c>
      <c r="K1844">
        <f>F1844-MIN(F1844,G1844)-I1844</f>
        <v/>
      </c>
    </row>
    <row r="1845">
      <c r="A1845" s="21">
        <f>IF(Rechner!$E$4&lt;&gt;"ok","",IF(Rechner!$E$5+1843&lt;=Rechner!$B$6,Rechner!$E$5+1843,""))</f>
        <v/>
      </c>
      <c r="B1845">
        <f>IF(A1845="","",LOOKUP(A1845,Basiszins!$A$5:$A$18,Basiszins!$B$5:$B$18))</f>
        <v/>
      </c>
      <c r="C1845">
        <f>IF(A1845="","",B1845+Rechner!$E$7)</f>
        <v/>
      </c>
      <c r="D1845">
        <f>J1844</f>
        <v/>
      </c>
      <c r="E1845">
        <f>IF(A1845="",0,D1845*C1845/100/(DATE(YEAR(A1845)+1,1,1)-DATE(YEAR(A1845),1,1)))</f>
        <v/>
      </c>
      <c r="F1845">
        <f>IF(A1845="",0,SUMIF(Rechner!$A$12:$A$21,A1845,Rechner!$B$12:$B$21))</f>
        <v/>
      </c>
      <c r="G1845">
        <f>H1844+E1845</f>
        <v/>
      </c>
      <c r="H1845">
        <f>G1845-MIN(F1845,G1845)</f>
        <v/>
      </c>
      <c r="I1845">
        <f>MIN(F1845-MIN(F1845,G1845),D1845)</f>
        <v/>
      </c>
      <c r="J1845">
        <f>D1845-I1845</f>
        <v/>
      </c>
      <c r="K1845">
        <f>F1845-MIN(F1845,G1845)-I1845</f>
        <v/>
      </c>
    </row>
    <row r="1846">
      <c r="A1846" s="21">
        <f>IF(Rechner!$E$4&lt;&gt;"ok","",IF(Rechner!$E$5+1844&lt;=Rechner!$B$6,Rechner!$E$5+1844,""))</f>
        <v/>
      </c>
      <c r="B1846">
        <f>IF(A1846="","",LOOKUP(A1846,Basiszins!$A$5:$A$18,Basiszins!$B$5:$B$18))</f>
        <v/>
      </c>
      <c r="C1846">
        <f>IF(A1846="","",B1846+Rechner!$E$7)</f>
        <v/>
      </c>
      <c r="D1846">
        <f>J1845</f>
        <v/>
      </c>
      <c r="E1846">
        <f>IF(A1846="",0,D1846*C1846/100/(DATE(YEAR(A1846)+1,1,1)-DATE(YEAR(A1846),1,1)))</f>
        <v/>
      </c>
      <c r="F1846">
        <f>IF(A1846="",0,SUMIF(Rechner!$A$12:$A$21,A1846,Rechner!$B$12:$B$21))</f>
        <v/>
      </c>
      <c r="G1846">
        <f>H1845+E1846</f>
        <v/>
      </c>
      <c r="H1846">
        <f>G1846-MIN(F1846,G1846)</f>
        <v/>
      </c>
      <c r="I1846">
        <f>MIN(F1846-MIN(F1846,G1846),D1846)</f>
        <v/>
      </c>
      <c r="J1846">
        <f>D1846-I1846</f>
        <v/>
      </c>
      <c r="K1846">
        <f>F1846-MIN(F1846,G1846)-I1846</f>
        <v/>
      </c>
    </row>
    <row r="1847">
      <c r="A1847" s="21">
        <f>IF(Rechner!$E$4&lt;&gt;"ok","",IF(Rechner!$E$5+1845&lt;=Rechner!$B$6,Rechner!$E$5+1845,""))</f>
        <v/>
      </c>
      <c r="B1847">
        <f>IF(A1847="","",LOOKUP(A1847,Basiszins!$A$5:$A$18,Basiszins!$B$5:$B$18))</f>
        <v/>
      </c>
      <c r="C1847">
        <f>IF(A1847="","",B1847+Rechner!$E$7)</f>
        <v/>
      </c>
      <c r="D1847">
        <f>J1846</f>
        <v/>
      </c>
      <c r="E1847">
        <f>IF(A1847="",0,D1847*C1847/100/(DATE(YEAR(A1847)+1,1,1)-DATE(YEAR(A1847),1,1)))</f>
        <v/>
      </c>
      <c r="F1847">
        <f>IF(A1847="",0,SUMIF(Rechner!$A$12:$A$21,A1847,Rechner!$B$12:$B$21))</f>
        <v/>
      </c>
      <c r="G1847">
        <f>H1846+E1847</f>
        <v/>
      </c>
      <c r="H1847">
        <f>G1847-MIN(F1847,G1847)</f>
        <v/>
      </c>
      <c r="I1847">
        <f>MIN(F1847-MIN(F1847,G1847),D1847)</f>
        <v/>
      </c>
      <c r="J1847">
        <f>D1847-I1847</f>
        <v/>
      </c>
      <c r="K1847">
        <f>F1847-MIN(F1847,G1847)-I1847</f>
        <v/>
      </c>
    </row>
    <row r="1848">
      <c r="A1848" s="21">
        <f>IF(Rechner!$E$4&lt;&gt;"ok","",IF(Rechner!$E$5+1846&lt;=Rechner!$B$6,Rechner!$E$5+1846,""))</f>
        <v/>
      </c>
      <c r="B1848">
        <f>IF(A1848="","",LOOKUP(A1848,Basiszins!$A$5:$A$18,Basiszins!$B$5:$B$18))</f>
        <v/>
      </c>
      <c r="C1848">
        <f>IF(A1848="","",B1848+Rechner!$E$7)</f>
        <v/>
      </c>
      <c r="D1848">
        <f>J1847</f>
        <v/>
      </c>
      <c r="E1848">
        <f>IF(A1848="",0,D1848*C1848/100/(DATE(YEAR(A1848)+1,1,1)-DATE(YEAR(A1848),1,1)))</f>
        <v/>
      </c>
      <c r="F1848">
        <f>IF(A1848="",0,SUMIF(Rechner!$A$12:$A$21,A1848,Rechner!$B$12:$B$21))</f>
        <v/>
      </c>
      <c r="G1848">
        <f>H1847+E1848</f>
        <v/>
      </c>
      <c r="H1848">
        <f>G1848-MIN(F1848,G1848)</f>
        <v/>
      </c>
      <c r="I1848">
        <f>MIN(F1848-MIN(F1848,G1848),D1848)</f>
        <v/>
      </c>
      <c r="J1848">
        <f>D1848-I1848</f>
        <v/>
      </c>
      <c r="K1848">
        <f>F1848-MIN(F1848,G1848)-I1848</f>
        <v/>
      </c>
    </row>
    <row r="1849">
      <c r="A1849" s="21">
        <f>IF(Rechner!$E$4&lt;&gt;"ok","",IF(Rechner!$E$5+1847&lt;=Rechner!$B$6,Rechner!$E$5+1847,""))</f>
        <v/>
      </c>
      <c r="B1849">
        <f>IF(A1849="","",LOOKUP(A1849,Basiszins!$A$5:$A$18,Basiszins!$B$5:$B$18))</f>
        <v/>
      </c>
      <c r="C1849">
        <f>IF(A1849="","",B1849+Rechner!$E$7)</f>
        <v/>
      </c>
      <c r="D1849">
        <f>J1848</f>
        <v/>
      </c>
      <c r="E1849">
        <f>IF(A1849="",0,D1849*C1849/100/(DATE(YEAR(A1849)+1,1,1)-DATE(YEAR(A1849),1,1)))</f>
        <v/>
      </c>
      <c r="F1849">
        <f>IF(A1849="",0,SUMIF(Rechner!$A$12:$A$21,A1849,Rechner!$B$12:$B$21))</f>
        <v/>
      </c>
      <c r="G1849">
        <f>H1848+E1849</f>
        <v/>
      </c>
      <c r="H1849">
        <f>G1849-MIN(F1849,G1849)</f>
        <v/>
      </c>
      <c r="I1849">
        <f>MIN(F1849-MIN(F1849,G1849),D1849)</f>
        <v/>
      </c>
      <c r="J1849">
        <f>D1849-I1849</f>
        <v/>
      </c>
      <c r="K1849">
        <f>F1849-MIN(F1849,G1849)-I1849</f>
        <v/>
      </c>
    </row>
    <row r="1850">
      <c r="A1850" s="21">
        <f>IF(Rechner!$E$4&lt;&gt;"ok","",IF(Rechner!$E$5+1848&lt;=Rechner!$B$6,Rechner!$E$5+1848,""))</f>
        <v/>
      </c>
      <c r="B1850">
        <f>IF(A1850="","",LOOKUP(A1850,Basiszins!$A$5:$A$18,Basiszins!$B$5:$B$18))</f>
        <v/>
      </c>
      <c r="C1850">
        <f>IF(A1850="","",B1850+Rechner!$E$7)</f>
        <v/>
      </c>
      <c r="D1850">
        <f>J1849</f>
        <v/>
      </c>
      <c r="E1850">
        <f>IF(A1850="",0,D1850*C1850/100/(DATE(YEAR(A1850)+1,1,1)-DATE(YEAR(A1850),1,1)))</f>
        <v/>
      </c>
      <c r="F1850">
        <f>IF(A1850="",0,SUMIF(Rechner!$A$12:$A$21,A1850,Rechner!$B$12:$B$21))</f>
        <v/>
      </c>
      <c r="G1850">
        <f>H1849+E1850</f>
        <v/>
      </c>
      <c r="H1850">
        <f>G1850-MIN(F1850,G1850)</f>
        <v/>
      </c>
      <c r="I1850">
        <f>MIN(F1850-MIN(F1850,G1850),D1850)</f>
        <v/>
      </c>
      <c r="J1850">
        <f>D1850-I1850</f>
        <v/>
      </c>
      <c r="K1850">
        <f>F1850-MIN(F1850,G1850)-I1850</f>
        <v/>
      </c>
    </row>
    <row r="1851">
      <c r="A1851" s="21">
        <f>IF(Rechner!$E$4&lt;&gt;"ok","",IF(Rechner!$E$5+1849&lt;=Rechner!$B$6,Rechner!$E$5+1849,""))</f>
        <v/>
      </c>
      <c r="B1851">
        <f>IF(A1851="","",LOOKUP(A1851,Basiszins!$A$5:$A$18,Basiszins!$B$5:$B$18))</f>
        <v/>
      </c>
      <c r="C1851">
        <f>IF(A1851="","",B1851+Rechner!$E$7)</f>
        <v/>
      </c>
      <c r="D1851">
        <f>J1850</f>
        <v/>
      </c>
      <c r="E1851">
        <f>IF(A1851="",0,D1851*C1851/100/(DATE(YEAR(A1851)+1,1,1)-DATE(YEAR(A1851),1,1)))</f>
        <v/>
      </c>
      <c r="F1851">
        <f>IF(A1851="",0,SUMIF(Rechner!$A$12:$A$21,A1851,Rechner!$B$12:$B$21))</f>
        <v/>
      </c>
      <c r="G1851">
        <f>H1850+E1851</f>
        <v/>
      </c>
      <c r="H1851">
        <f>G1851-MIN(F1851,G1851)</f>
        <v/>
      </c>
      <c r="I1851">
        <f>MIN(F1851-MIN(F1851,G1851),D1851)</f>
        <v/>
      </c>
      <c r="J1851">
        <f>D1851-I1851</f>
        <v/>
      </c>
      <c r="K1851">
        <f>F1851-MIN(F1851,G1851)-I1851</f>
        <v/>
      </c>
    </row>
    <row r="1852">
      <c r="A1852" s="21">
        <f>IF(Rechner!$E$4&lt;&gt;"ok","",IF(Rechner!$E$5+1850&lt;=Rechner!$B$6,Rechner!$E$5+1850,""))</f>
        <v/>
      </c>
      <c r="B1852">
        <f>IF(A1852="","",LOOKUP(A1852,Basiszins!$A$5:$A$18,Basiszins!$B$5:$B$18))</f>
        <v/>
      </c>
      <c r="C1852">
        <f>IF(A1852="","",B1852+Rechner!$E$7)</f>
        <v/>
      </c>
      <c r="D1852">
        <f>J1851</f>
        <v/>
      </c>
      <c r="E1852">
        <f>IF(A1852="",0,D1852*C1852/100/(DATE(YEAR(A1852)+1,1,1)-DATE(YEAR(A1852),1,1)))</f>
        <v/>
      </c>
      <c r="F1852">
        <f>IF(A1852="",0,SUMIF(Rechner!$A$12:$A$21,A1852,Rechner!$B$12:$B$21))</f>
        <v/>
      </c>
      <c r="G1852">
        <f>H1851+E1852</f>
        <v/>
      </c>
      <c r="H1852">
        <f>G1852-MIN(F1852,G1852)</f>
        <v/>
      </c>
      <c r="I1852">
        <f>MIN(F1852-MIN(F1852,G1852),D1852)</f>
        <v/>
      </c>
      <c r="J1852">
        <f>D1852-I1852</f>
        <v/>
      </c>
      <c r="K1852">
        <f>F1852-MIN(F1852,G1852)-I1852</f>
        <v/>
      </c>
    </row>
    <row r="1853">
      <c r="A1853" s="21">
        <f>IF(Rechner!$E$4&lt;&gt;"ok","",IF(Rechner!$E$5+1851&lt;=Rechner!$B$6,Rechner!$E$5+1851,""))</f>
        <v/>
      </c>
      <c r="B1853">
        <f>IF(A1853="","",LOOKUP(A1853,Basiszins!$A$5:$A$18,Basiszins!$B$5:$B$18))</f>
        <v/>
      </c>
      <c r="C1853">
        <f>IF(A1853="","",B1853+Rechner!$E$7)</f>
        <v/>
      </c>
      <c r="D1853">
        <f>J1852</f>
        <v/>
      </c>
      <c r="E1853">
        <f>IF(A1853="",0,D1853*C1853/100/(DATE(YEAR(A1853)+1,1,1)-DATE(YEAR(A1853),1,1)))</f>
        <v/>
      </c>
      <c r="F1853">
        <f>IF(A1853="",0,SUMIF(Rechner!$A$12:$A$21,A1853,Rechner!$B$12:$B$21))</f>
        <v/>
      </c>
      <c r="G1853">
        <f>H1852+E1853</f>
        <v/>
      </c>
      <c r="H1853">
        <f>G1853-MIN(F1853,G1853)</f>
        <v/>
      </c>
      <c r="I1853">
        <f>MIN(F1853-MIN(F1853,G1853),D1853)</f>
        <v/>
      </c>
      <c r="J1853">
        <f>D1853-I1853</f>
        <v/>
      </c>
      <c r="K1853">
        <f>F1853-MIN(F1853,G1853)-I1853</f>
        <v/>
      </c>
    </row>
    <row r="1854">
      <c r="A1854" s="21">
        <f>IF(Rechner!$E$4&lt;&gt;"ok","",IF(Rechner!$E$5+1852&lt;=Rechner!$B$6,Rechner!$E$5+1852,""))</f>
        <v/>
      </c>
      <c r="B1854">
        <f>IF(A1854="","",LOOKUP(A1854,Basiszins!$A$5:$A$18,Basiszins!$B$5:$B$18))</f>
        <v/>
      </c>
      <c r="C1854">
        <f>IF(A1854="","",B1854+Rechner!$E$7)</f>
        <v/>
      </c>
      <c r="D1854">
        <f>J1853</f>
        <v/>
      </c>
      <c r="E1854">
        <f>IF(A1854="",0,D1854*C1854/100/(DATE(YEAR(A1854)+1,1,1)-DATE(YEAR(A1854),1,1)))</f>
        <v/>
      </c>
      <c r="F1854">
        <f>IF(A1854="",0,SUMIF(Rechner!$A$12:$A$21,A1854,Rechner!$B$12:$B$21))</f>
        <v/>
      </c>
      <c r="G1854">
        <f>H1853+E1854</f>
        <v/>
      </c>
      <c r="H1854">
        <f>G1854-MIN(F1854,G1854)</f>
        <v/>
      </c>
      <c r="I1854">
        <f>MIN(F1854-MIN(F1854,G1854),D1854)</f>
        <v/>
      </c>
      <c r="J1854">
        <f>D1854-I1854</f>
        <v/>
      </c>
      <c r="K1854">
        <f>F1854-MIN(F1854,G1854)-I1854</f>
        <v/>
      </c>
    </row>
    <row r="1855">
      <c r="A1855" s="21">
        <f>IF(Rechner!$E$4&lt;&gt;"ok","",IF(Rechner!$E$5+1853&lt;=Rechner!$B$6,Rechner!$E$5+1853,""))</f>
        <v/>
      </c>
      <c r="B1855">
        <f>IF(A1855="","",LOOKUP(A1855,Basiszins!$A$5:$A$18,Basiszins!$B$5:$B$18))</f>
        <v/>
      </c>
      <c r="C1855">
        <f>IF(A1855="","",B1855+Rechner!$E$7)</f>
        <v/>
      </c>
      <c r="D1855">
        <f>J1854</f>
        <v/>
      </c>
      <c r="E1855">
        <f>IF(A1855="",0,D1855*C1855/100/(DATE(YEAR(A1855)+1,1,1)-DATE(YEAR(A1855),1,1)))</f>
        <v/>
      </c>
      <c r="F1855">
        <f>IF(A1855="",0,SUMIF(Rechner!$A$12:$A$21,A1855,Rechner!$B$12:$B$21))</f>
        <v/>
      </c>
      <c r="G1855">
        <f>H1854+E1855</f>
        <v/>
      </c>
      <c r="H1855">
        <f>G1855-MIN(F1855,G1855)</f>
        <v/>
      </c>
      <c r="I1855">
        <f>MIN(F1855-MIN(F1855,G1855),D1855)</f>
        <v/>
      </c>
      <c r="J1855">
        <f>D1855-I1855</f>
        <v/>
      </c>
      <c r="K1855">
        <f>F1855-MIN(F1855,G1855)-I1855</f>
        <v/>
      </c>
    </row>
    <row r="1856">
      <c r="A1856" s="21">
        <f>IF(Rechner!$E$4&lt;&gt;"ok","",IF(Rechner!$E$5+1854&lt;=Rechner!$B$6,Rechner!$E$5+1854,""))</f>
        <v/>
      </c>
      <c r="B1856">
        <f>IF(A1856="","",LOOKUP(A1856,Basiszins!$A$5:$A$18,Basiszins!$B$5:$B$18))</f>
        <v/>
      </c>
      <c r="C1856">
        <f>IF(A1856="","",B1856+Rechner!$E$7)</f>
        <v/>
      </c>
      <c r="D1856">
        <f>J1855</f>
        <v/>
      </c>
      <c r="E1856">
        <f>IF(A1856="",0,D1856*C1856/100/(DATE(YEAR(A1856)+1,1,1)-DATE(YEAR(A1856),1,1)))</f>
        <v/>
      </c>
      <c r="F1856">
        <f>IF(A1856="",0,SUMIF(Rechner!$A$12:$A$21,A1856,Rechner!$B$12:$B$21))</f>
        <v/>
      </c>
      <c r="G1856">
        <f>H1855+E1856</f>
        <v/>
      </c>
      <c r="H1856">
        <f>G1856-MIN(F1856,G1856)</f>
        <v/>
      </c>
      <c r="I1856">
        <f>MIN(F1856-MIN(F1856,G1856),D1856)</f>
        <v/>
      </c>
      <c r="J1856">
        <f>D1856-I1856</f>
        <v/>
      </c>
      <c r="K1856">
        <f>F1856-MIN(F1856,G1856)-I1856</f>
        <v/>
      </c>
    </row>
    <row r="1857">
      <c r="A1857" s="21">
        <f>IF(Rechner!$E$4&lt;&gt;"ok","",IF(Rechner!$E$5+1855&lt;=Rechner!$B$6,Rechner!$E$5+1855,""))</f>
        <v/>
      </c>
      <c r="B1857">
        <f>IF(A1857="","",LOOKUP(A1857,Basiszins!$A$5:$A$18,Basiszins!$B$5:$B$18))</f>
        <v/>
      </c>
      <c r="C1857">
        <f>IF(A1857="","",B1857+Rechner!$E$7)</f>
        <v/>
      </c>
      <c r="D1857">
        <f>J1856</f>
        <v/>
      </c>
      <c r="E1857">
        <f>IF(A1857="",0,D1857*C1857/100/(DATE(YEAR(A1857)+1,1,1)-DATE(YEAR(A1857),1,1)))</f>
        <v/>
      </c>
      <c r="F1857">
        <f>IF(A1857="",0,SUMIF(Rechner!$A$12:$A$21,A1857,Rechner!$B$12:$B$21))</f>
        <v/>
      </c>
      <c r="G1857">
        <f>H1856+E1857</f>
        <v/>
      </c>
      <c r="H1857">
        <f>G1857-MIN(F1857,G1857)</f>
        <v/>
      </c>
      <c r="I1857">
        <f>MIN(F1857-MIN(F1857,G1857),D1857)</f>
        <v/>
      </c>
      <c r="J1857">
        <f>D1857-I1857</f>
        <v/>
      </c>
      <c r="K1857">
        <f>F1857-MIN(F1857,G1857)-I1857</f>
        <v/>
      </c>
    </row>
    <row r="1858">
      <c r="A1858" s="21">
        <f>IF(Rechner!$E$4&lt;&gt;"ok","",IF(Rechner!$E$5+1856&lt;=Rechner!$B$6,Rechner!$E$5+1856,""))</f>
        <v/>
      </c>
      <c r="B1858">
        <f>IF(A1858="","",LOOKUP(A1858,Basiszins!$A$5:$A$18,Basiszins!$B$5:$B$18))</f>
        <v/>
      </c>
      <c r="C1858">
        <f>IF(A1858="","",B1858+Rechner!$E$7)</f>
        <v/>
      </c>
      <c r="D1858">
        <f>J1857</f>
        <v/>
      </c>
      <c r="E1858">
        <f>IF(A1858="",0,D1858*C1858/100/(DATE(YEAR(A1858)+1,1,1)-DATE(YEAR(A1858),1,1)))</f>
        <v/>
      </c>
      <c r="F1858">
        <f>IF(A1858="",0,SUMIF(Rechner!$A$12:$A$21,A1858,Rechner!$B$12:$B$21))</f>
        <v/>
      </c>
      <c r="G1858">
        <f>H1857+E1858</f>
        <v/>
      </c>
      <c r="H1858">
        <f>G1858-MIN(F1858,G1858)</f>
        <v/>
      </c>
      <c r="I1858">
        <f>MIN(F1858-MIN(F1858,G1858),D1858)</f>
        <v/>
      </c>
      <c r="J1858">
        <f>D1858-I1858</f>
        <v/>
      </c>
      <c r="K1858">
        <f>F1858-MIN(F1858,G1858)-I1858</f>
        <v/>
      </c>
    </row>
    <row r="1859">
      <c r="A1859" s="21">
        <f>IF(Rechner!$E$4&lt;&gt;"ok","",IF(Rechner!$E$5+1857&lt;=Rechner!$B$6,Rechner!$E$5+1857,""))</f>
        <v/>
      </c>
      <c r="B1859">
        <f>IF(A1859="","",LOOKUP(A1859,Basiszins!$A$5:$A$18,Basiszins!$B$5:$B$18))</f>
        <v/>
      </c>
      <c r="C1859">
        <f>IF(A1859="","",B1859+Rechner!$E$7)</f>
        <v/>
      </c>
      <c r="D1859">
        <f>J1858</f>
        <v/>
      </c>
      <c r="E1859">
        <f>IF(A1859="",0,D1859*C1859/100/(DATE(YEAR(A1859)+1,1,1)-DATE(YEAR(A1859),1,1)))</f>
        <v/>
      </c>
      <c r="F1859">
        <f>IF(A1859="",0,SUMIF(Rechner!$A$12:$A$21,A1859,Rechner!$B$12:$B$21))</f>
        <v/>
      </c>
      <c r="G1859">
        <f>H1858+E1859</f>
        <v/>
      </c>
      <c r="H1859">
        <f>G1859-MIN(F1859,G1859)</f>
        <v/>
      </c>
      <c r="I1859">
        <f>MIN(F1859-MIN(F1859,G1859),D1859)</f>
        <v/>
      </c>
      <c r="J1859">
        <f>D1859-I1859</f>
        <v/>
      </c>
      <c r="K1859">
        <f>F1859-MIN(F1859,G1859)-I1859</f>
        <v/>
      </c>
    </row>
    <row r="1860">
      <c r="A1860" s="21">
        <f>IF(Rechner!$E$4&lt;&gt;"ok","",IF(Rechner!$E$5+1858&lt;=Rechner!$B$6,Rechner!$E$5+1858,""))</f>
        <v/>
      </c>
      <c r="B1860">
        <f>IF(A1860="","",LOOKUP(A1860,Basiszins!$A$5:$A$18,Basiszins!$B$5:$B$18))</f>
        <v/>
      </c>
      <c r="C1860">
        <f>IF(A1860="","",B1860+Rechner!$E$7)</f>
        <v/>
      </c>
      <c r="D1860">
        <f>J1859</f>
        <v/>
      </c>
      <c r="E1860">
        <f>IF(A1860="",0,D1860*C1860/100/(DATE(YEAR(A1860)+1,1,1)-DATE(YEAR(A1860),1,1)))</f>
        <v/>
      </c>
      <c r="F1860">
        <f>IF(A1860="",0,SUMIF(Rechner!$A$12:$A$21,A1860,Rechner!$B$12:$B$21))</f>
        <v/>
      </c>
      <c r="G1860">
        <f>H1859+E1860</f>
        <v/>
      </c>
      <c r="H1860">
        <f>G1860-MIN(F1860,G1860)</f>
        <v/>
      </c>
      <c r="I1860">
        <f>MIN(F1860-MIN(F1860,G1860),D1860)</f>
        <v/>
      </c>
      <c r="J1860">
        <f>D1860-I1860</f>
        <v/>
      </c>
      <c r="K1860">
        <f>F1860-MIN(F1860,G1860)-I1860</f>
        <v/>
      </c>
    </row>
    <row r="1861">
      <c r="A1861" s="21">
        <f>IF(Rechner!$E$4&lt;&gt;"ok","",IF(Rechner!$E$5+1859&lt;=Rechner!$B$6,Rechner!$E$5+1859,""))</f>
        <v/>
      </c>
      <c r="B1861">
        <f>IF(A1861="","",LOOKUP(A1861,Basiszins!$A$5:$A$18,Basiszins!$B$5:$B$18))</f>
        <v/>
      </c>
      <c r="C1861">
        <f>IF(A1861="","",B1861+Rechner!$E$7)</f>
        <v/>
      </c>
      <c r="D1861">
        <f>J1860</f>
        <v/>
      </c>
      <c r="E1861">
        <f>IF(A1861="",0,D1861*C1861/100/(DATE(YEAR(A1861)+1,1,1)-DATE(YEAR(A1861),1,1)))</f>
        <v/>
      </c>
      <c r="F1861">
        <f>IF(A1861="",0,SUMIF(Rechner!$A$12:$A$21,A1861,Rechner!$B$12:$B$21))</f>
        <v/>
      </c>
      <c r="G1861">
        <f>H1860+E1861</f>
        <v/>
      </c>
      <c r="H1861">
        <f>G1861-MIN(F1861,G1861)</f>
        <v/>
      </c>
      <c r="I1861">
        <f>MIN(F1861-MIN(F1861,G1861),D1861)</f>
        <v/>
      </c>
      <c r="J1861">
        <f>D1861-I1861</f>
        <v/>
      </c>
      <c r="K1861">
        <f>F1861-MIN(F1861,G1861)-I1861</f>
        <v/>
      </c>
    </row>
    <row r="1862">
      <c r="A1862" s="21">
        <f>IF(Rechner!$E$4&lt;&gt;"ok","",IF(Rechner!$E$5+1860&lt;=Rechner!$B$6,Rechner!$E$5+1860,""))</f>
        <v/>
      </c>
      <c r="B1862">
        <f>IF(A1862="","",LOOKUP(A1862,Basiszins!$A$5:$A$18,Basiszins!$B$5:$B$18))</f>
        <v/>
      </c>
      <c r="C1862">
        <f>IF(A1862="","",B1862+Rechner!$E$7)</f>
        <v/>
      </c>
      <c r="D1862">
        <f>J1861</f>
        <v/>
      </c>
      <c r="E1862">
        <f>IF(A1862="",0,D1862*C1862/100/(DATE(YEAR(A1862)+1,1,1)-DATE(YEAR(A1862),1,1)))</f>
        <v/>
      </c>
      <c r="F1862">
        <f>IF(A1862="",0,SUMIF(Rechner!$A$12:$A$21,A1862,Rechner!$B$12:$B$21))</f>
        <v/>
      </c>
      <c r="G1862">
        <f>H1861+E1862</f>
        <v/>
      </c>
      <c r="H1862">
        <f>G1862-MIN(F1862,G1862)</f>
        <v/>
      </c>
      <c r="I1862">
        <f>MIN(F1862-MIN(F1862,G1862),D1862)</f>
        <v/>
      </c>
      <c r="J1862">
        <f>D1862-I1862</f>
        <v/>
      </c>
      <c r="K1862">
        <f>F1862-MIN(F1862,G1862)-I1862</f>
        <v/>
      </c>
    </row>
    <row r="1863">
      <c r="A1863" s="21">
        <f>IF(Rechner!$E$4&lt;&gt;"ok","",IF(Rechner!$E$5+1861&lt;=Rechner!$B$6,Rechner!$E$5+1861,""))</f>
        <v/>
      </c>
      <c r="B1863">
        <f>IF(A1863="","",LOOKUP(A1863,Basiszins!$A$5:$A$18,Basiszins!$B$5:$B$18))</f>
        <v/>
      </c>
      <c r="C1863">
        <f>IF(A1863="","",B1863+Rechner!$E$7)</f>
        <v/>
      </c>
      <c r="D1863">
        <f>J1862</f>
        <v/>
      </c>
      <c r="E1863">
        <f>IF(A1863="",0,D1863*C1863/100/(DATE(YEAR(A1863)+1,1,1)-DATE(YEAR(A1863),1,1)))</f>
        <v/>
      </c>
      <c r="F1863">
        <f>IF(A1863="",0,SUMIF(Rechner!$A$12:$A$21,A1863,Rechner!$B$12:$B$21))</f>
        <v/>
      </c>
      <c r="G1863">
        <f>H1862+E1863</f>
        <v/>
      </c>
      <c r="H1863">
        <f>G1863-MIN(F1863,G1863)</f>
        <v/>
      </c>
      <c r="I1863">
        <f>MIN(F1863-MIN(F1863,G1863),D1863)</f>
        <v/>
      </c>
      <c r="J1863">
        <f>D1863-I1863</f>
        <v/>
      </c>
      <c r="K1863">
        <f>F1863-MIN(F1863,G1863)-I1863</f>
        <v/>
      </c>
    </row>
    <row r="1864">
      <c r="A1864" s="21">
        <f>IF(Rechner!$E$4&lt;&gt;"ok","",IF(Rechner!$E$5+1862&lt;=Rechner!$B$6,Rechner!$E$5+1862,""))</f>
        <v/>
      </c>
      <c r="B1864">
        <f>IF(A1864="","",LOOKUP(A1864,Basiszins!$A$5:$A$18,Basiszins!$B$5:$B$18))</f>
        <v/>
      </c>
      <c r="C1864">
        <f>IF(A1864="","",B1864+Rechner!$E$7)</f>
        <v/>
      </c>
      <c r="D1864">
        <f>J1863</f>
        <v/>
      </c>
      <c r="E1864">
        <f>IF(A1864="",0,D1864*C1864/100/(DATE(YEAR(A1864)+1,1,1)-DATE(YEAR(A1864),1,1)))</f>
        <v/>
      </c>
      <c r="F1864">
        <f>IF(A1864="",0,SUMIF(Rechner!$A$12:$A$21,A1864,Rechner!$B$12:$B$21))</f>
        <v/>
      </c>
      <c r="G1864">
        <f>H1863+E1864</f>
        <v/>
      </c>
      <c r="H1864">
        <f>G1864-MIN(F1864,G1864)</f>
        <v/>
      </c>
      <c r="I1864">
        <f>MIN(F1864-MIN(F1864,G1864),D1864)</f>
        <v/>
      </c>
      <c r="J1864">
        <f>D1864-I1864</f>
        <v/>
      </c>
      <c r="K1864">
        <f>F1864-MIN(F1864,G1864)-I1864</f>
        <v/>
      </c>
    </row>
    <row r="1865">
      <c r="A1865" s="21">
        <f>IF(Rechner!$E$4&lt;&gt;"ok","",IF(Rechner!$E$5+1863&lt;=Rechner!$B$6,Rechner!$E$5+1863,""))</f>
        <v/>
      </c>
      <c r="B1865">
        <f>IF(A1865="","",LOOKUP(A1865,Basiszins!$A$5:$A$18,Basiszins!$B$5:$B$18))</f>
        <v/>
      </c>
      <c r="C1865">
        <f>IF(A1865="","",B1865+Rechner!$E$7)</f>
        <v/>
      </c>
      <c r="D1865">
        <f>J1864</f>
        <v/>
      </c>
      <c r="E1865">
        <f>IF(A1865="",0,D1865*C1865/100/(DATE(YEAR(A1865)+1,1,1)-DATE(YEAR(A1865),1,1)))</f>
        <v/>
      </c>
      <c r="F1865">
        <f>IF(A1865="",0,SUMIF(Rechner!$A$12:$A$21,A1865,Rechner!$B$12:$B$21))</f>
        <v/>
      </c>
      <c r="G1865">
        <f>H1864+E1865</f>
        <v/>
      </c>
      <c r="H1865">
        <f>G1865-MIN(F1865,G1865)</f>
        <v/>
      </c>
      <c r="I1865">
        <f>MIN(F1865-MIN(F1865,G1865),D1865)</f>
        <v/>
      </c>
      <c r="J1865">
        <f>D1865-I1865</f>
        <v/>
      </c>
      <c r="K1865">
        <f>F1865-MIN(F1865,G1865)-I1865</f>
        <v/>
      </c>
    </row>
    <row r="1866">
      <c r="A1866" s="21">
        <f>IF(Rechner!$E$4&lt;&gt;"ok","",IF(Rechner!$E$5+1864&lt;=Rechner!$B$6,Rechner!$E$5+1864,""))</f>
        <v/>
      </c>
      <c r="B1866">
        <f>IF(A1866="","",LOOKUP(A1866,Basiszins!$A$5:$A$18,Basiszins!$B$5:$B$18))</f>
        <v/>
      </c>
      <c r="C1866">
        <f>IF(A1866="","",B1866+Rechner!$E$7)</f>
        <v/>
      </c>
      <c r="D1866">
        <f>J1865</f>
        <v/>
      </c>
      <c r="E1866">
        <f>IF(A1866="",0,D1866*C1866/100/(DATE(YEAR(A1866)+1,1,1)-DATE(YEAR(A1866),1,1)))</f>
        <v/>
      </c>
      <c r="F1866">
        <f>IF(A1866="",0,SUMIF(Rechner!$A$12:$A$21,A1866,Rechner!$B$12:$B$21))</f>
        <v/>
      </c>
      <c r="G1866">
        <f>H1865+E1866</f>
        <v/>
      </c>
      <c r="H1866">
        <f>G1866-MIN(F1866,G1866)</f>
        <v/>
      </c>
      <c r="I1866">
        <f>MIN(F1866-MIN(F1866,G1866),D1866)</f>
        <v/>
      </c>
      <c r="J1866">
        <f>D1866-I1866</f>
        <v/>
      </c>
      <c r="K1866">
        <f>F1866-MIN(F1866,G1866)-I1866</f>
        <v/>
      </c>
    </row>
    <row r="1867">
      <c r="A1867" s="21">
        <f>IF(Rechner!$E$4&lt;&gt;"ok","",IF(Rechner!$E$5+1865&lt;=Rechner!$B$6,Rechner!$E$5+1865,""))</f>
        <v/>
      </c>
      <c r="B1867">
        <f>IF(A1867="","",LOOKUP(A1867,Basiszins!$A$5:$A$18,Basiszins!$B$5:$B$18))</f>
        <v/>
      </c>
      <c r="C1867">
        <f>IF(A1867="","",B1867+Rechner!$E$7)</f>
        <v/>
      </c>
      <c r="D1867">
        <f>J1866</f>
        <v/>
      </c>
      <c r="E1867">
        <f>IF(A1867="",0,D1867*C1867/100/(DATE(YEAR(A1867)+1,1,1)-DATE(YEAR(A1867),1,1)))</f>
        <v/>
      </c>
      <c r="F1867">
        <f>IF(A1867="",0,SUMIF(Rechner!$A$12:$A$21,A1867,Rechner!$B$12:$B$21))</f>
        <v/>
      </c>
      <c r="G1867">
        <f>H1866+E1867</f>
        <v/>
      </c>
      <c r="H1867">
        <f>G1867-MIN(F1867,G1867)</f>
        <v/>
      </c>
      <c r="I1867">
        <f>MIN(F1867-MIN(F1867,G1867),D1867)</f>
        <v/>
      </c>
      <c r="J1867">
        <f>D1867-I1867</f>
        <v/>
      </c>
      <c r="K1867">
        <f>F1867-MIN(F1867,G1867)-I1867</f>
        <v/>
      </c>
    </row>
    <row r="1868">
      <c r="A1868" s="21">
        <f>IF(Rechner!$E$4&lt;&gt;"ok","",IF(Rechner!$E$5+1866&lt;=Rechner!$B$6,Rechner!$E$5+1866,""))</f>
        <v/>
      </c>
      <c r="B1868">
        <f>IF(A1868="","",LOOKUP(A1868,Basiszins!$A$5:$A$18,Basiszins!$B$5:$B$18))</f>
        <v/>
      </c>
      <c r="C1868">
        <f>IF(A1868="","",B1868+Rechner!$E$7)</f>
        <v/>
      </c>
      <c r="D1868">
        <f>J1867</f>
        <v/>
      </c>
      <c r="E1868">
        <f>IF(A1868="",0,D1868*C1868/100/(DATE(YEAR(A1868)+1,1,1)-DATE(YEAR(A1868),1,1)))</f>
        <v/>
      </c>
      <c r="F1868">
        <f>IF(A1868="",0,SUMIF(Rechner!$A$12:$A$21,A1868,Rechner!$B$12:$B$21))</f>
        <v/>
      </c>
      <c r="G1868">
        <f>H1867+E1868</f>
        <v/>
      </c>
      <c r="H1868">
        <f>G1868-MIN(F1868,G1868)</f>
        <v/>
      </c>
      <c r="I1868">
        <f>MIN(F1868-MIN(F1868,G1868),D1868)</f>
        <v/>
      </c>
      <c r="J1868">
        <f>D1868-I1868</f>
        <v/>
      </c>
      <c r="K1868">
        <f>F1868-MIN(F1868,G1868)-I1868</f>
        <v/>
      </c>
    </row>
    <row r="1869">
      <c r="A1869" s="21">
        <f>IF(Rechner!$E$4&lt;&gt;"ok","",IF(Rechner!$E$5+1867&lt;=Rechner!$B$6,Rechner!$E$5+1867,""))</f>
        <v/>
      </c>
      <c r="B1869">
        <f>IF(A1869="","",LOOKUP(A1869,Basiszins!$A$5:$A$18,Basiszins!$B$5:$B$18))</f>
        <v/>
      </c>
      <c r="C1869">
        <f>IF(A1869="","",B1869+Rechner!$E$7)</f>
        <v/>
      </c>
      <c r="D1869">
        <f>J1868</f>
        <v/>
      </c>
      <c r="E1869">
        <f>IF(A1869="",0,D1869*C1869/100/(DATE(YEAR(A1869)+1,1,1)-DATE(YEAR(A1869),1,1)))</f>
        <v/>
      </c>
      <c r="F1869">
        <f>IF(A1869="",0,SUMIF(Rechner!$A$12:$A$21,A1869,Rechner!$B$12:$B$21))</f>
        <v/>
      </c>
      <c r="G1869">
        <f>H1868+E1869</f>
        <v/>
      </c>
      <c r="H1869">
        <f>G1869-MIN(F1869,G1869)</f>
        <v/>
      </c>
      <c r="I1869">
        <f>MIN(F1869-MIN(F1869,G1869),D1869)</f>
        <v/>
      </c>
      <c r="J1869">
        <f>D1869-I1869</f>
        <v/>
      </c>
      <c r="K1869">
        <f>F1869-MIN(F1869,G1869)-I1869</f>
        <v/>
      </c>
    </row>
    <row r="1870">
      <c r="A1870" s="21">
        <f>IF(Rechner!$E$4&lt;&gt;"ok","",IF(Rechner!$E$5+1868&lt;=Rechner!$B$6,Rechner!$E$5+1868,""))</f>
        <v/>
      </c>
      <c r="B1870">
        <f>IF(A1870="","",LOOKUP(A1870,Basiszins!$A$5:$A$18,Basiszins!$B$5:$B$18))</f>
        <v/>
      </c>
      <c r="C1870">
        <f>IF(A1870="","",B1870+Rechner!$E$7)</f>
        <v/>
      </c>
      <c r="D1870">
        <f>J1869</f>
        <v/>
      </c>
      <c r="E1870">
        <f>IF(A1870="",0,D1870*C1870/100/(DATE(YEAR(A1870)+1,1,1)-DATE(YEAR(A1870),1,1)))</f>
        <v/>
      </c>
      <c r="F1870">
        <f>IF(A1870="",0,SUMIF(Rechner!$A$12:$A$21,A1870,Rechner!$B$12:$B$21))</f>
        <v/>
      </c>
      <c r="G1870">
        <f>H1869+E1870</f>
        <v/>
      </c>
      <c r="H1870">
        <f>G1870-MIN(F1870,G1870)</f>
        <v/>
      </c>
      <c r="I1870">
        <f>MIN(F1870-MIN(F1870,G1870),D1870)</f>
        <v/>
      </c>
      <c r="J1870">
        <f>D1870-I1870</f>
        <v/>
      </c>
      <c r="K1870">
        <f>F1870-MIN(F1870,G1870)-I1870</f>
        <v/>
      </c>
    </row>
    <row r="1871">
      <c r="A1871" s="21">
        <f>IF(Rechner!$E$4&lt;&gt;"ok","",IF(Rechner!$E$5+1869&lt;=Rechner!$B$6,Rechner!$E$5+1869,""))</f>
        <v/>
      </c>
      <c r="B1871">
        <f>IF(A1871="","",LOOKUP(A1871,Basiszins!$A$5:$A$18,Basiszins!$B$5:$B$18))</f>
        <v/>
      </c>
      <c r="C1871">
        <f>IF(A1871="","",B1871+Rechner!$E$7)</f>
        <v/>
      </c>
      <c r="D1871">
        <f>J1870</f>
        <v/>
      </c>
      <c r="E1871">
        <f>IF(A1871="",0,D1871*C1871/100/(DATE(YEAR(A1871)+1,1,1)-DATE(YEAR(A1871),1,1)))</f>
        <v/>
      </c>
      <c r="F1871">
        <f>IF(A1871="",0,SUMIF(Rechner!$A$12:$A$21,A1871,Rechner!$B$12:$B$21))</f>
        <v/>
      </c>
      <c r="G1871">
        <f>H1870+E1871</f>
        <v/>
      </c>
      <c r="H1871">
        <f>G1871-MIN(F1871,G1871)</f>
        <v/>
      </c>
      <c r="I1871">
        <f>MIN(F1871-MIN(F1871,G1871),D1871)</f>
        <v/>
      </c>
      <c r="J1871">
        <f>D1871-I1871</f>
        <v/>
      </c>
      <c r="K1871">
        <f>F1871-MIN(F1871,G1871)-I1871</f>
        <v/>
      </c>
    </row>
    <row r="1872">
      <c r="A1872" s="21">
        <f>IF(Rechner!$E$4&lt;&gt;"ok","",IF(Rechner!$E$5+1870&lt;=Rechner!$B$6,Rechner!$E$5+1870,""))</f>
        <v/>
      </c>
      <c r="B1872">
        <f>IF(A1872="","",LOOKUP(A1872,Basiszins!$A$5:$A$18,Basiszins!$B$5:$B$18))</f>
        <v/>
      </c>
      <c r="C1872">
        <f>IF(A1872="","",B1872+Rechner!$E$7)</f>
        <v/>
      </c>
      <c r="D1872">
        <f>J1871</f>
        <v/>
      </c>
      <c r="E1872">
        <f>IF(A1872="",0,D1872*C1872/100/(DATE(YEAR(A1872)+1,1,1)-DATE(YEAR(A1872),1,1)))</f>
        <v/>
      </c>
      <c r="F1872">
        <f>IF(A1872="",0,SUMIF(Rechner!$A$12:$A$21,A1872,Rechner!$B$12:$B$21))</f>
        <v/>
      </c>
      <c r="G1872">
        <f>H1871+E1872</f>
        <v/>
      </c>
      <c r="H1872">
        <f>G1872-MIN(F1872,G1872)</f>
        <v/>
      </c>
      <c r="I1872">
        <f>MIN(F1872-MIN(F1872,G1872),D1872)</f>
        <v/>
      </c>
      <c r="J1872">
        <f>D1872-I1872</f>
        <v/>
      </c>
      <c r="K1872">
        <f>F1872-MIN(F1872,G1872)-I1872</f>
        <v/>
      </c>
    </row>
    <row r="1873">
      <c r="A1873" s="21">
        <f>IF(Rechner!$E$4&lt;&gt;"ok","",IF(Rechner!$E$5+1871&lt;=Rechner!$B$6,Rechner!$E$5+1871,""))</f>
        <v/>
      </c>
      <c r="B1873">
        <f>IF(A1873="","",LOOKUP(A1873,Basiszins!$A$5:$A$18,Basiszins!$B$5:$B$18))</f>
        <v/>
      </c>
      <c r="C1873">
        <f>IF(A1873="","",B1873+Rechner!$E$7)</f>
        <v/>
      </c>
      <c r="D1873">
        <f>J1872</f>
        <v/>
      </c>
      <c r="E1873">
        <f>IF(A1873="",0,D1873*C1873/100/(DATE(YEAR(A1873)+1,1,1)-DATE(YEAR(A1873),1,1)))</f>
        <v/>
      </c>
      <c r="F1873">
        <f>IF(A1873="",0,SUMIF(Rechner!$A$12:$A$21,A1873,Rechner!$B$12:$B$21))</f>
        <v/>
      </c>
      <c r="G1873">
        <f>H1872+E1873</f>
        <v/>
      </c>
      <c r="H1873">
        <f>G1873-MIN(F1873,G1873)</f>
        <v/>
      </c>
      <c r="I1873">
        <f>MIN(F1873-MIN(F1873,G1873),D1873)</f>
        <v/>
      </c>
      <c r="J1873">
        <f>D1873-I1873</f>
        <v/>
      </c>
      <c r="K1873">
        <f>F1873-MIN(F1873,G1873)-I1873</f>
        <v/>
      </c>
    </row>
    <row r="1874">
      <c r="A1874" s="21">
        <f>IF(Rechner!$E$4&lt;&gt;"ok","",IF(Rechner!$E$5+1872&lt;=Rechner!$B$6,Rechner!$E$5+1872,""))</f>
        <v/>
      </c>
      <c r="B1874">
        <f>IF(A1874="","",LOOKUP(A1874,Basiszins!$A$5:$A$18,Basiszins!$B$5:$B$18))</f>
        <v/>
      </c>
      <c r="C1874">
        <f>IF(A1874="","",B1874+Rechner!$E$7)</f>
        <v/>
      </c>
      <c r="D1874">
        <f>J1873</f>
        <v/>
      </c>
      <c r="E1874">
        <f>IF(A1874="",0,D1874*C1874/100/(DATE(YEAR(A1874)+1,1,1)-DATE(YEAR(A1874),1,1)))</f>
        <v/>
      </c>
      <c r="F1874">
        <f>IF(A1874="",0,SUMIF(Rechner!$A$12:$A$21,A1874,Rechner!$B$12:$B$21))</f>
        <v/>
      </c>
      <c r="G1874">
        <f>H1873+E1874</f>
        <v/>
      </c>
      <c r="H1874">
        <f>G1874-MIN(F1874,G1874)</f>
        <v/>
      </c>
      <c r="I1874">
        <f>MIN(F1874-MIN(F1874,G1874),D1874)</f>
        <v/>
      </c>
      <c r="J1874">
        <f>D1874-I1874</f>
        <v/>
      </c>
      <c r="K1874">
        <f>F1874-MIN(F1874,G1874)-I1874</f>
        <v/>
      </c>
    </row>
    <row r="1875">
      <c r="A1875" s="21">
        <f>IF(Rechner!$E$4&lt;&gt;"ok","",IF(Rechner!$E$5+1873&lt;=Rechner!$B$6,Rechner!$E$5+1873,""))</f>
        <v/>
      </c>
      <c r="B1875">
        <f>IF(A1875="","",LOOKUP(A1875,Basiszins!$A$5:$A$18,Basiszins!$B$5:$B$18))</f>
        <v/>
      </c>
      <c r="C1875">
        <f>IF(A1875="","",B1875+Rechner!$E$7)</f>
        <v/>
      </c>
      <c r="D1875">
        <f>J1874</f>
        <v/>
      </c>
      <c r="E1875">
        <f>IF(A1875="",0,D1875*C1875/100/(DATE(YEAR(A1875)+1,1,1)-DATE(YEAR(A1875),1,1)))</f>
        <v/>
      </c>
      <c r="F1875">
        <f>IF(A1875="",0,SUMIF(Rechner!$A$12:$A$21,A1875,Rechner!$B$12:$B$21))</f>
        <v/>
      </c>
      <c r="G1875">
        <f>H1874+E1875</f>
        <v/>
      </c>
      <c r="H1875">
        <f>G1875-MIN(F1875,G1875)</f>
        <v/>
      </c>
      <c r="I1875">
        <f>MIN(F1875-MIN(F1875,G1875),D1875)</f>
        <v/>
      </c>
      <c r="J1875">
        <f>D1875-I1875</f>
        <v/>
      </c>
      <c r="K1875">
        <f>F1875-MIN(F1875,G1875)-I1875</f>
        <v/>
      </c>
    </row>
    <row r="1876">
      <c r="A1876" s="21">
        <f>IF(Rechner!$E$4&lt;&gt;"ok","",IF(Rechner!$E$5+1874&lt;=Rechner!$B$6,Rechner!$E$5+1874,""))</f>
        <v/>
      </c>
      <c r="B1876">
        <f>IF(A1876="","",LOOKUP(A1876,Basiszins!$A$5:$A$18,Basiszins!$B$5:$B$18))</f>
        <v/>
      </c>
      <c r="C1876">
        <f>IF(A1876="","",B1876+Rechner!$E$7)</f>
        <v/>
      </c>
      <c r="D1876">
        <f>J1875</f>
        <v/>
      </c>
      <c r="E1876">
        <f>IF(A1876="",0,D1876*C1876/100/(DATE(YEAR(A1876)+1,1,1)-DATE(YEAR(A1876),1,1)))</f>
        <v/>
      </c>
      <c r="F1876">
        <f>IF(A1876="",0,SUMIF(Rechner!$A$12:$A$21,A1876,Rechner!$B$12:$B$21))</f>
        <v/>
      </c>
      <c r="G1876">
        <f>H1875+E1876</f>
        <v/>
      </c>
      <c r="H1876">
        <f>G1876-MIN(F1876,G1876)</f>
        <v/>
      </c>
      <c r="I1876">
        <f>MIN(F1876-MIN(F1876,G1876),D1876)</f>
        <v/>
      </c>
      <c r="J1876">
        <f>D1876-I1876</f>
        <v/>
      </c>
      <c r="K1876">
        <f>F1876-MIN(F1876,G1876)-I1876</f>
        <v/>
      </c>
    </row>
    <row r="1877">
      <c r="A1877" s="21">
        <f>IF(Rechner!$E$4&lt;&gt;"ok","",IF(Rechner!$E$5+1875&lt;=Rechner!$B$6,Rechner!$E$5+1875,""))</f>
        <v/>
      </c>
      <c r="B1877">
        <f>IF(A1877="","",LOOKUP(A1877,Basiszins!$A$5:$A$18,Basiszins!$B$5:$B$18))</f>
        <v/>
      </c>
      <c r="C1877">
        <f>IF(A1877="","",B1877+Rechner!$E$7)</f>
        <v/>
      </c>
      <c r="D1877">
        <f>J1876</f>
        <v/>
      </c>
      <c r="E1877">
        <f>IF(A1877="",0,D1877*C1877/100/(DATE(YEAR(A1877)+1,1,1)-DATE(YEAR(A1877),1,1)))</f>
        <v/>
      </c>
      <c r="F1877">
        <f>IF(A1877="",0,SUMIF(Rechner!$A$12:$A$21,A1877,Rechner!$B$12:$B$21))</f>
        <v/>
      </c>
      <c r="G1877">
        <f>H1876+E1877</f>
        <v/>
      </c>
      <c r="H1877">
        <f>G1877-MIN(F1877,G1877)</f>
        <v/>
      </c>
      <c r="I1877">
        <f>MIN(F1877-MIN(F1877,G1877),D1877)</f>
        <v/>
      </c>
      <c r="J1877">
        <f>D1877-I1877</f>
        <v/>
      </c>
      <c r="K1877">
        <f>F1877-MIN(F1877,G1877)-I1877</f>
        <v/>
      </c>
    </row>
    <row r="1878">
      <c r="A1878" s="21">
        <f>IF(Rechner!$E$4&lt;&gt;"ok","",IF(Rechner!$E$5+1876&lt;=Rechner!$B$6,Rechner!$E$5+1876,""))</f>
        <v/>
      </c>
      <c r="B1878">
        <f>IF(A1878="","",LOOKUP(A1878,Basiszins!$A$5:$A$18,Basiszins!$B$5:$B$18))</f>
        <v/>
      </c>
      <c r="C1878">
        <f>IF(A1878="","",B1878+Rechner!$E$7)</f>
        <v/>
      </c>
      <c r="D1878">
        <f>J1877</f>
        <v/>
      </c>
      <c r="E1878">
        <f>IF(A1878="",0,D1878*C1878/100/(DATE(YEAR(A1878)+1,1,1)-DATE(YEAR(A1878),1,1)))</f>
        <v/>
      </c>
      <c r="F1878">
        <f>IF(A1878="",0,SUMIF(Rechner!$A$12:$A$21,A1878,Rechner!$B$12:$B$21))</f>
        <v/>
      </c>
      <c r="G1878">
        <f>H1877+E1878</f>
        <v/>
      </c>
      <c r="H1878">
        <f>G1878-MIN(F1878,G1878)</f>
        <v/>
      </c>
      <c r="I1878">
        <f>MIN(F1878-MIN(F1878,G1878),D1878)</f>
        <v/>
      </c>
      <c r="J1878">
        <f>D1878-I1878</f>
        <v/>
      </c>
      <c r="K1878">
        <f>F1878-MIN(F1878,G1878)-I1878</f>
        <v/>
      </c>
    </row>
    <row r="1879">
      <c r="A1879" s="21">
        <f>IF(Rechner!$E$4&lt;&gt;"ok","",IF(Rechner!$E$5+1877&lt;=Rechner!$B$6,Rechner!$E$5+1877,""))</f>
        <v/>
      </c>
      <c r="B1879">
        <f>IF(A1879="","",LOOKUP(A1879,Basiszins!$A$5:$A$18,Basiszins!$B$5:$B$18))</f>
        <v/>
      </c>
      <c r="C1879">
        <f>IF(A1879="","",B1879+Rechner!$E$7)</f>
        <v/>
      </c>
      <c r="D1879">
        <f>J1878</f>
        <v/>
      </c>
      <c r="E1879">
        <f>IF(A1879="",0,D1879*C1879/100/(DATE(YEAR(A1879)+1,1,1)-DATE(YEAR(A1879),1,1)))</f>
        <v/>
      </c>
      <c r="F1879">
        <f>IF(A1879="",0,SUMIF(Rechner!$A$12:$A$21,A1879,Rechner!$B$12:$B$21))</f>
        <v/>
      </c>
      <c r="G1879">
        <f>H1878+E1879</f>
        <v/>
      </c>
      <c r="H1879">
        <f>G1879-MIN(F1879,G1879)</f>
        <v/>
      </c>
      <c r="I1879">
        <f>MIN(F1879-MIN(F1879,G1879),D1879)</f>
        <v/>
      </c>
      <c r="J1879">
        <f>D1879-I1879</f>
        <v/>
      </c>
      <c r="K1879">
        <f>F1879-MIN(F1879,G1879)-I1879</f>
        <v/>
      </c>
    </row>
    <row r="1880">
      <c r="A1880" s="21">
        <f>IF(Rechner!$E$4&lt;&gt;"ok","",IF(Rechner!$E$5+1878&lt;=Rechner!$B$6,Rechner!$E$5+1878,""))</f>
        <v/>
      </c>
      <c r="B1880">
        <f>IF(A1880="","",LOOKUP(A1880,Basiszins!$A$5:$A$18,Basiszins!$B$5:$B$18))</f>
        <v/>
      </c>
      <c r="C1880">
        <f>IF(A1880="","",B1880+Rechner!$E$7)</f>
        <v/>
      </c>
      <c r="D1880">
        <f>J1879</f>
        <v/>
      </c>
      <c r="E1880">
        <f>IF(A1880="",0,D1880*C1880/100/(DATE(YEAR(A1880)+1,1,1)-DATE(YEAR(A1880),1,1)))</f>
        <v/>
      </c>
      <c r="F1880">
        <f>IF(A1880="",0,SUMIF(Rechner!$A$12:$A$21,A1880,Rechner!$B$12:$B$21))</f>
        <v/>
      </c>
      <c r="G1880">
        <f>H1879+E1880</f>
        <v/>
      </c>
      <c r="H1880">
        <f>G1880-MIN(F1880,G1880)</f>
        <v/>
      </c>
      <c r="I1880">
        <f>MIN(F1880-MIN(F1880,G1880),D1880)</f>
        <v/>
      </c>
      <c r="J1880">
        <f>D1880-I1880</f>
        <v/>
      </c>
      <c r="K1880">
        <f>F1880-MIN(F1880,G1880)-I1880</f>
        <v/>
      </c>
    </row>
    <row r="1881">
      <c r="A1881" s="21">
        <f>IF(Rechner!$E$4&lt;&gt;"ok","",IF(Rechner!$E$5+1879&lt;=Rechner!$B$6,Rechner!$E$5+1879,""))</f>
        <v/>
      </c>
      <c r="B1881">
        <f>IF(A1881="","",LOOKUP(A1881,Basiszins!$A$5:$A$18,Basiszins!$B$5:$B$18))</f>
        <v/>
      </c>
      <c r="C1881">
        <f>IF(A1881="","",B1881+Rechner!$E$7)</f>
        <v/>
      </c>
      <c r="D1881">
        <f>J1880</f>
        <v/>
      </c>
      <c r="E1881">
        <f>IF(A1881="",0,D1881*C1881/100/(DATE(YEAR(A1881)+1,1,1)-DATE(YEAR(A1881),1,1)))</f>
        <v/>
      </c>
      <c r="F1881">
        <f>IF(A1881="",0,SUMIF(Rechner!$A$12:$A$21,A1881,Rechner!$B$12:$B$21))</f>
        <v/>
      </c>
      <c r="G1881">
        <f>H1880+E1881</f>
        <v/>
      </c>
      <c r="H1881">
        <f>G1881-MIN(F1881,G1881)</f>
        <v/>
      </c>
      <c r="I1881">
        <f>MIN(F1881-MIN(F1881,G1881),D1881)</f>
        <v/>
      </c>
      <c r="J1881">
        <f>D1881-I1881</f>
        <v/>
      </c>
      <c r="K1881">
        <f>F1881-MIN(F1881,G1881)-I1881</f>
        <v/>
      </c>
    </row>
    <row r="1882">
      <c r="A1882" s="21">
        <f>IF(Rechner!$E$4&lt;&gt;"ok","",IF(Rechner!$E$5+1880&lt;=Rechner!$B$6,Rechner!$E$5+1880,""))</f>
        <v/>
      </c>
      <c r="B1882">
        <f>IF(A1882="","",LOOKUP(A1882,Basiszins!$A$5:$A$18,Basiszins!$B$5:$B$18))</f>
        <v/>
      </c>
      <c r="C1882">
        <f>IF(A1882="","",B1882+Rechner!$E$7)</f>
        <v/>
      </c>
      <c r="D1882">
        <f>J1881</f>
        <v/>
      </c>
      <c r="E1882">
        <f>IF(A1882="",0,D1882*C1882/100/(DATE(YEAR(A1882)+1,1,1)-DATE(YEAR(A1882),1,1)))</f>
        <v/>
      </c>
      <c r="F1882">
        <f>IF(A1882="",0,SUMIF(Rechner!$A$12:$A$21,A1882,Rechner!$B$12:$B$21))</f>
        <v/>
      </c>
      <c r="G1882">
        <f>H1881+E1882</f>
        <v/>
      </c>
      <c r="H1882">
        <f>G1882-MIN(F1882,G1882)</f>
        <v/>
      </c>
      <c r="I1882">
        <f>MIN(F1882-MIN(F1882,G1882),D1882)</f>
        <v/>
      </c>
      <c r="J1882">
        <f>D1882-I1882</f>
        <v/>
      </c>
      <c r="K1882">
        <f>F1882-MIN(F1882,G1882)-I1882</f>
        <v/>
      </c>
    </row>
    <row r="1883">
      <c r="A1883" s="21">
        <f>IF(Rechner!$E$4&lt;&gt;"ok","",IF(Rechner!$E$5+1881&lt;=Rechner!$B$6,Rechner!$E$5+1881,""))</f>
        <v/>
      </c>
      <c r="B1883">
        <f>IF(A1883="","",LOOKUP(A1883,Basiszins!$A$5:$A$18,Basiszins!$B$5:$B$18))</f>
        <v/>
      </c>
      <c r="C1883">
        <f>IF(A1883="","",B1883+Rechner!$E$7)</f>
        <v/>
      </c>
      <c r="D1883">
        <f>J1882</f>
        <v/>
      </c>
      <c r="E1883">
        <f>IF(A1883="",0,D1883*C1883/100/(DATE(YEAR(A1883)+1,1,1)-DATE(YEAR(A1883),1,1)))</f>
        <v/>
      </c>
      <c r="F1883">
        <f>IF(A1883="",0,SUMIF(Rechner!$A$12:$A$21,A1883,Rechner!$B$12:$B$21))</f>
        <v/>
      </c>
      <c r="G1883">
        <f>H1882+E1883</f>
        <v/>
      </c>
      <c r="H1883">
        <f>G1883-MIN(F1883,G1883)</f>
        <v/>
      </c>
      <c r="I1883">
        <f>MIN(F1883-MIN(F1883,G1883),D1883)</f>
        <v/>
      </c>
      <c r="J1883">
        <f>D1883-I1883</f>
        <v/>
      </c>
      <c r="K1883">
        <f>F1883-MIN(F1883,G1883)-I1883</f>
        <v/>
      </c>
    </row>
    <row r="1884">
      <c r="A1884" s="21">
        <f>IF(Rechner!$E$4&lt;&gt;"ok","",IF(Rechner!$E$5+1882&lt;=Rechner!$B$6,Rechner!$E$5+1882,""))</f>
        <v/>
      </c>
      <c r="B1884">
        <f>IF(A1884="","",LOOKUP(A1884,Basiszins!$A$5:$A$18,Basiszins!$B$5:$B$18))</f>
        <v/>
      </c>
      <c r="C1884">
        <f>IF(A1884="","",B1884+Rechner!$E$7)</f>
        <v/>
      </c>
      <c r="D1884">
        <f>J1883</f>
        <v/>
      </c>
      <c r="E1884">
        <f>IF(A1884="",0,D1884*C1884/100/(DATE(YEAR(A1884)+1,1,1)-DATE(YEAR(A1884),1,1)))</f>
        <v/>
      </c>
      <c r="F1884">
        <f>IF(A1884="",0,SUMIF(Rechner!$A$12:$A$21,A1884,Rechner!$B$12:$B$21))</f>
        <v/>
      </c>
      <c r="G1884">
        <f>H1883+E1884</f>
        <v/>
      </c>
      <c r="H1884">
        <f>G1884-MIN(F1884,G1884)</f>
        <v/>
      </c>
      <c r="I1884">
        <f>MIN(F1884-MIN(F1884,G1884),D1884)</f>
        <v/>
      </c>
      <c r="J1884">
        <f>D1884-I1884</f>
        <v/>
      </c>
      <c r="K1884">
        <f>F1884-MIN(F1884,G1884)-I1884</f>
        <v/>
      </c>
    </row>
    <row r="1885">
      <c r="A1885" s="21">
        <f>IF(Rechner!$E$4&lt;&gt;"ok","",IF(Rechner!$E$5+1883&lt;=Rechner!$B$6,Rechner!$E$5+1883,""))</f>
        <v/>
      </c>
      <c r="B1885">
        <f>IF(A1885="","",LOOKUP(A1885,Basiszins!$A$5:$A$18,Basiszins!$B$5:$B$18))</f>
        <v/>
      </c>
      <c r="C1885">
        <f>IF(A1885="","",B1885+Rechner!$E$7)</f>
        <v/>
      </c>
      <c r="D1885">
        <f>J1884</f>
        <v/>
      </c>
      <c r="E1885">
        <f>IF(A1885="",0,D1885*C1885/100/(DATE(YEAR(A1885)+1,1,1)-DATE(YEAR(A1885),1,1)))</f>
        <v/>
      </c>
      <c r="F1885">
        <f>IF(A1885="",0,SUMIF(Rechner!$A$12:$A$21,A1885,Rechner!$B$12:$B$21))</f>
        <v/>
      </c>
      <c r="G1885">
        <f>H1884+E1885</f>
        <v/>
      </c>
      <c r="H1885">
        <f>G1885-MIN(F1885,G1885)</f>
        <v/>
      </c>
      <c r="I1885">
        <f>MIN(F1885-MIN(F1885,G1885),D1885)</f>
        <v/>
      </c>
      <c r="J1885">
        <f>D1885-I1885</f>
        <v/>
      </c>
      <c r="K1885">
        <f>F1885-MIN(F1885,G1885)-I1885</f>
        <v/>
      </c>
    </row>
    <row r="1886">
      <c r="A1886" s="21">
        <f>IF(Rechner!$E$4&lt;&gt;"ok","",IF(Rechner!$E$5+1884&lt;=Rechner!$B$6,Rechner!$E$5+1884,""))</f>
        <v/>
      </c>
      <c r="B1886">
        <f>IF(A1886="","",LOOKUP(A1886,Basiszins!$A$5:$A$18,Basiszins!$B$5:$B$18))</f>
        <v/>
      </c>
      <c r="C1886">
        <f>IF(A1886="","",B1886+Rechner!$E$7)</f>
        <v/>
      </c>
      <c r="D1886">
        <f>J1885</f>
        <v/>
      </c>
      <c r="E1886">
        <f>IF(A1886="",0,D1886*C1886/100/(DATE(YEAR(A1886)+1,1,1)-DATE(YEAR(A1886),1,1)))</f>
        <v/>
      </c>
      <c r="F1886">
        <f>IF(A1886="",0,SUMIF(Rechner!$A$12:$A$21,A1886,Rechner!$B$12:$B$21))</f>
        <v/>
      </c>
      <c r="G1886">
        <f>H1885+E1886</f>
        <v/>
      </c>
      <c r="H1886">
        <f>G1886-MIN(F1886,G1886)</f>
        <v/>
      </c>
      <c r="I1886">
        <f>MIN(F1886-MIN(F1886,G1886),D1886)</f>
        <v/>
      </c>
      <c r="J1886">
        <f>D1886-I1886</f>
        <v/>
      </c>
      <c r="K1886">
        <f>F1886-MIN(F1886,G1886)-I1886</f>
        <v/>
      </c>
    </row>
    <row r="1887">
      <c r="A1887" s="21">
        <f>IF(Rechner!$E$4&lt;&gt;"ok","",IF(Rechner!$E$5+1885&lt;=Rechner!$B$6,Rechner!$E$5+1885,""))</f>
        <v/>
      </c>
      <c r="B1887">
        <f>IF(A1887="","",LOOKUP(A1887,Basiszins!$A$5:$A$18,Basiszins!$B$5:$B$18))</f>
        <v/>
      </c>
      <c r="C1887">
        <f>IF(A1887="","",B1887+Rechner!$E$7)</f>
        <v/>
      </c>
      <c r="D1887">
        <f>J1886</f>
        <v/>
      </c>
      <c r="E1887">
        <f>IF(A1887="",0,D1887*C1887/100/(DATE(YEAR(A1887)+1,1,1)-DATE(YEAR(A1887),1,1)))</f>
        <v/>
      </c>
      <c r="F1887">
        <f>IF(A1887="",0,SUMIF(Rechner!$A$12:$A$21,A1887,Rechner!$B$12:$B$21))</f>
        <v/>
      </c>
      <c r="G1887">
        <f>H1886+E1887</f>
        <v/>
      </c>
      <c r="H1887">
        <f>G1887-MIN(F1887,G1887)</f>
        <v/>
      </c>
      <c r="I1887">
        <f>MIN(F1887-MIN(F1887,G1887),D1887)</f>
        <v/>
      </c>
      <c r="J1887">
        <f>D1887-I1887</f>
        <v/>
      </c>
      <c r="K1887">
        <f>F1887-MIN(F1887,G1887)-I1887</f>
        <v/>
      </c>
    </row>
    <row r="1888">
      <c r="A1888" s="21">
        <f>IF(Rechner!$E$4&lt;&gt;"ok","",IF(Rechner!$E$5+1886&lt;=Rechner!$B$6,Rechner!$E$5+1886,""))</f>
        <v/>
      </c>
      <c r="B1888">
        <f>IF(A1888="","",LOOKUP(A1888,Basiszins!$A$5:$A$18,Basiszins!$B$5:$B$18))</f>
        <v/>
      </c>
      <c r="C1888">
        <f>IF(A1888="","",B1888+Rechner!$E$7)</f>
        <v/>
      </c>
      <c r="D1888">
        <f>J1887</f>
        <v/>
      </c>
      <c r="E1888">
        <f>IF(A1888="",0,D1888*C1888/100/(DATE(YEAR(A1888)+1,1,1)-DATE(YEAR(A1888),1,1)))</f>
        <v/>
      </c>
      <c r="F1888">
        <f>IF(A1888="",0,SUMIF(Rechner!$A$12:$A$21,A1888,Rechner!$B$12:$B$21))</f>
        <v/>
      </c>
      <c r="G1888">
        <f>H1887+E1888</f>
        <v/>
      </c>
      <c r="H1888">
        <f>G1888-MIN(F1888,G1888)</f>
        <v/>
      </c>
      <c r="I1888">
        <f>MIN(F1888-MIN(F1888,G1888),D1888)</f>
        <v/>
      </c>
      <c r="J1888">
        <f>D1888-I1888</f>
        <v/>
      </c>
      <c r="K1888">
        <f>F1888-MIN(F1888,G1888)-I1888</f>
        <v/>
      </c>
    </row>
    <row r="1889">
      <c r="A1889" s="21">
        <f>IF(Rechner!$E$4&lt;&gt;"ok","",IF(Rechner!$E$5+1887&lt;=Rechner!$B$6,Rechner!$E$5+1887,""))</f>
        <v/>
      </c>
      <c r="B1889">
        <f>IF(A1889="","",LOOKUP(A1889,Basiszins!$A$5:$A$18,Basiszins!$B$5:$B$18))</f>
        <v/>
      </c>
      <c r="C1889">
        <f>IF(A1889="","",B1889+Rechner!$E$7)</f>
        <v/>
      </c>
      <c r="D1889">
        <f>J1888</f>
        <v/>
      </c>
      <c r="E1889">
        <f>IF(A1889="",0,D1889*C1889/100/(DATE(YEAR(A1889)+1,1,1)-DATE(YEAR(A1889),1,1)))</f>
        <v/>
      </c>
      <c r="F1889">
        <f>IF(A1889="",0,SUMIF(Rechner!$A$12:$A$21,A1889,Rechner!$B$12:$B$21))</f>
        <v/>
      </c>
      <c r="G1889">
        <f>H1888+E1889</f>
        <v/>
      </c>
      <c r="H1889">
        <f>G1889-MIN(F1889,G1889)</f>
        <v/>
      </c>
      <c r="I1889">
        <f>MIN(F1889-MIN(F1889,G1889),D1889)</f>
        <v/>
      </c>
      <c r="J1889">
        <f>D1889-I1889</f>
        <v/>
      </c>
      <c r="K1889">
        <f>F1889-MIN(F1889,G1889)-I1889</f>
        <v/>
      </c>
    </row>
    <row r="1890">
      <c r="A1890" s="21">
        <f>IF(Rechner!$E$4&lt;&gt;"ok","",IF(Rechner!$E$5+1888&lt;=Rechner!$B$6,Rechner!$E$5+1888,""))</f>
        <v/>
      </c>
      <c r="B1890">
        <f>IF(A1890="","",LOOKUP(A1890,Basiszins!$A$5:$A$18,Basiszins!$B$5:$B$18))</f>
        <v/>
      </c>
      <c r="C1890">
        <f>IF(A1890="","",B1890+Rechner!$E$7)</f>
        <v/>
      </c>
      <c r="D1890">
        <f>J1889</f>
        <v/>
      </c>
      <c r="E1890">
        <f>IF(A1890="",0,D1890*C1890/100/(DATE(YEAR(A1890)+1,1,1)-DATE(YEAR(A1890),1,1)))</f>
        <v/>
      </c>
      <c r="F1890">
        <f>IF(A1890="",0,SUMIF(Rechner!$A$12:$A$21,A1890,Rechner!$B$12:$B$21))</f>
        <v/>
      </c>
      <c r="G1890">
        <f>H1889+E1890</f>
        <v/>
      </c>
      <c r="H1890">
        <f>G1890-MIN(F1890,G1890)</f>
        <v/>
      </c>
      <c r="I1890">
        <f>MIN(F1890-MIN(F1890,G1890),D1890)</f>
        <v/>
      </c>
      <c r="J1890">
        <f>D1890-I1890</f>
        <v/>
      </c>
      <c r="K1890">
        <f>F1890-MIN(F1890,G1890)-I1890</f>
        <v/>
      </c>
    </row>
    <row r="1891">
      <c r="A1891" s="21">
        <f>IF(Rechner!$E$4&lt;&gt;"ok","",IF(Rechner!$E$5+1889&lt;=Rechner!$B$6,Rechner!$E$5+1889,""))</f>
        <v/>
      </c>
      <c r="B1891">
        <f>IF(A1891="","",LOOKUP(A1891,Basiszins!$A$5:$A$18,Basiszins!$B$5:$B$18))</f>
        <v/>
      </c>
      <c r="C1891">
        <f>IF(A1891="","",B1891+Rechner!$E$7)</f>
        <v/>
      </c>
      <c r="D1891">
        <f>J1890</f>
        <v/>
      </c>
      <c r="E1891">
        <f>IF(A1891="",0,D1891*C1891/100/(DATE(YEAR(A1891)+1,1,1)-DATE(YEAR(A1891),1,1)))</f>
        <v/>
      </c>
      <c r="F1891">
        <f>IF(A1891="",0,SUMIF(Rechner!$A$12:$A$21,A1891,Rechner!$B$12:$B$21))</f>
        <v/>
      </c>
      <c r="G1891">
        <f>H1890+E1891</f>
        <v/>
      </c>
      <c r="H1891">
        <f>G1891-MIN(F1891,G1891)</f>
        <v/>
      </c>
      <c r="I1891">
        <f>MIN(F1891-MIN(F1891,G1891),D1891)</f>
        <v/>
      </c>
      <c r="J1891">
        <f>D1891-I1891</f>
        <v/>
      </c>
      <c r="K1891">
        <f>F1891-MIN(F1891,G1891)-I1891</f>
        <v/>
      </c>
    </row>
    <row r="1892">
      <c r="A1892" s="21">
        <f>IF(Rechner!$E$4&lt;&gt;"ok","",IF(Rechner!$E$5+1890&lt;=Rechner!$B$6,Rechner!$E$5+1890,""))</f>
        <v/>
      </c>
      <c r="B1892">
        <f>IF(A1892="","",LOOKUP(A1892,Basiszins!$A$5:$A$18,Basiszins!$B$5:$B$18))</f>
        <v/>
      </c>
      <c r="C1892">
        <f>IF(A1892="","",B1892+Rechner!$E$7)</f>
        <v/>
      </c>
      <c r="D1892">
        <f>J1891</f>
        <v/>
      </c>
      <c r="E1892">
        <f>IF(A1892="",0,D1892*C1892/100/(DATE(YEAR(A1892)+1,1,1)-DATE(YEAR(A1892),1,1)))</f>
        <v/>
      </c>
      <c r="F1892">
        <f>IF(A1892="",0,SUMIF(Rechner!$A$12:$A$21,A1892,Rechner!$B$12:$B$21))</f>
        <v/>
      </c>
      <c r="G1892">
        <f>H1891+E1892</f>
        <v/>
      </c>
      <c r="H1892">
        <f>G1892-MIN(F1892,G1892)</f>
        <v/>
      </c>
      <c r="I1892">
        <f>MIN(F1892-MIN(F1892,G1892),D1892)</f>
        <v/>
      </c>
      <c r="J1892">
        <f>D1892-I1892</f>
        <v/>
      </c>
      <c r="K1892">
        <f>F1892-MIN(F1892,G1892)-I1892</f>
        <v/>
      </c>
    </row>
    <row r="1893">
      <c r="A1893" s="21">
        <f>IF(Rechner!$E$4&lt;&gt;"ok","",IF(Rechner!$E$5+1891&lt;=Rechner!$B$6,Rechner!$E$5+1891,""))</f>
        <v/>
      </c>
      <c r="B1893">
        <f>IF(A1893="","",LOOKUP(A1893,Basiszins!$A$5:$A$18,Basiszins!$B$5:$B$18))</f>
        <v/>
      </c>
      <c r="C1893">
        <f>IF(A1893="","",B1893+Rechner!$E$7)</f>
        <v/>
      </c>
      <c r="D1893">
        <f>J1892</f>
        <v/>
      </c>
      <c r="E1893">
        <f>IF(A1893="",0,D1893*C1893/100/(DATE(YEAR(A1893)+1,1,1)-DATE(YEAR(A1893),1,1)))</f>
        <v/>
      </c>
      <c r="F1893">
        <f>IF(A1893="",0,SUMIF(Rechner!$A$12:$A$21,A1893,Rechner!$B$12:$B$21))</f>
        <v/>
      </c>
      <c r="G1893">
        <f>H1892+E1893</f>
        <v/>
      </c>
      <c r="H1893">
        <f>G1893-MIN(F1893,G1893)</f>
        <v/>
      </c>
      <c r="I1893">
        <f>MIN(F1893-MIN(F1893,G1893),D1893)</f>
        <v/>
      </c>
      <c r="J1893">
        <f>D1893-I1893</f>
        <v/>
      </c>
      <c r="K1893">
        <f>F1893-MIN(F1893,G1893)-I1893</f>
        <v/>
      </c>
    </row>
    <row r="1894">
      <c r="A1894" s="21">
        <f>IF(Rechner!$E$4&lt;&gt;"ok","",IF(Rechner!$E$5+1892&lt;=Rechner!$B$6,Rechner!$E$5+1892,""))</f>
        <v/>
      </c>
      <c r="B1894">
        <f>IF(A1894="","",LOOKUP(A1894,Basiszins!$A$5:$A$18,Basiszins!$B$5:$B$18))</f>
        <v/>
      </c>
      <c r="C1894">
        <f>IF(A1894="","",B1894+Rechner!$E$7)</f>
        <v/>
      </c>
      <c r="D1894">
        <f>J1893</f>
        <v/>
      </c>
      <c r="E1894">
        <f>IF(A1894="",0,D1894*C1894/100/(DATE(YEAR(A1894)+1,1,1)-DATE(YEAR(A1894),1,1)))</f>
        <v/>
      </c>
      <c r="F1894">
        <f>IF(A1894="",0,SUMIF(Rechner!$A$12:$A$21,A1894,Rechner!$B$12:$B$21))</f>
        <v/>
      </c>
      <c r="G1894">
        <f>H1893+E1894</f>
        <v/>
      </c>
      <c r="H1894">
        <f>G1894-MIN(F1894,G1894)</f>
        <v/>
      </c>
      <c r="I1894">
        <f>MIN(F1894-MIN(F1894,G1894),D1894)</f>
        <v/>
      </c>
      <c r="J1894">
        <f>D1894-I1894</f>
        <v/>
      </c>
      <c r="K1894">
        <f>F1894-MIN(F1894,G1894)-I1894</f>
        <v/>
      </c>
    </row>
    <row r="1895">
      <c r="A1895" s="21">
        <f>IF(Rechner!$E$4&lt;&gt;"ok","",IF(Rechner!$E$5+1893&lt;=Rechner!$B$6,Rechner!$E$5+1893,""))</f>
        <v/>
      </c>
      <c r="B1895">
        <f>IF(A1895="","",LOOKUP(A1895,Basiszins!$A$5:$A$18,Basiszins!$B$5:$B$18))</f>
        <v/>
      </c>
      <c r="C1895">
        <f>IF(A1895="","",B1895+Rechner!$E$7)</f>
        <v/>
      </c>
      <c r="D1895">
        <f>J1894</f>
        <v/>
      </c>
      <c r="E1895">
        <f>IF(A1895="",0,D1895*C1895/100/(DATE(YEAR(A1895)+1,1,1)-DATE(YEAR(A1895),1,1)))</f>
        <v/>
      </c>
      <c r="F1895">
        <f>IF(A1895="",0,SUMIF(Rechner!$A$12:$A$21,A1895,Rechner!$B$12:$B$21))</f>
        <v/>
      </c>
      <c r="G1895">
        <f>H1894+E1895</f>
        <v/>
      </c>
      <c r="H1895">
        <f>G1895-MIN(F1895,G1895)</f>
        <v/>
      </c>
      <c r="I1895">
        <f>MIN(F1895-MIN(F1895,G1895),D1895)</f>
        <v/>
      </c>
      <c r="J1895">
        <f>D1895-I1895</f>
        <v/>
      </c>
      <c r="K1895">
        <f>F1895-MIN(F1895,G1895)-I1895</f>
        <v/>
      </c>
    </row>
    <row r="1896">
      <c r="A1896" s="21">
        <f>IF(Rechner!$E$4&lt;&gt;"ok","",IF(Rechner!$E$5+1894&lt;=Rechner!$B$6,Rechner!$E$5+1894,""))</f>
        <v/>
      </c>
      <c r="B1896">
        <f>IF(A1896="","",LOOKUP(A1896,Basiszins!$A$5:$A$18,Basiszins!$B$5:$B$18))</f>
        <v/>
      </c>
      <c r="C1896">
        <f>IF(A1896="","",B1896+Rechner!$E$7)</f>
        <v/>
      </c>
      <c r="D1896">
        <f>J1895</f>
        <v/>
      </c>
      <c r="E1896">
        <f>IF(A1896="",0,D1896*C1896/100/(DATE(YEAR(A1896)+1,1,1)-DATE(YEAR(A1896),1,1)))</f>
        <v/>
      </c>
      <c r="F1896">
        <f>IF(A1896="",0,SUMIF(Rechner!$A$12:$A$21,A1896,Rechner!$B$12:$B$21))</f>
        <v/>
      </c>
      <c r="G1896">
        <f>H1895+E1896</f>
        <v/>
      </c>
      <c r="H1896">
        <f>G1896-MIN(F1896,G1896)</f>
        <v/>
      </c>
      <c r="I1896">
        <f>MIN(F1896-MIN(F1896,G1896),D1896)</f>
        <v/>
      </c>
      <c r="J1896">
        <f>D1896-I1896</f>
        <v/>
      </c>
      <c r="K1896">
        <f>F1896-MIN(F1896,G1896)-I1896</f>
        <v/>
      </c>
    </row>
    <row r="1897">
      <c r="A1897" s="21">
        <f>IF(Rechner!$E$4&lt;&gt;"ok","",IF(Rechner!$E$5+1895&lt;=Rechner!$B$6,Rechner!$E$5+1895,""))</f>
        <v/>
      </c>
      <c r="B1897">
        <f>IF(A1897="","",LOOKUP(A1897,Basiszins!$A$5:$A$18,Basiszins!$B$5:$B$18))</f>
        <v/>
      </c>
      <c r="C1897">
        <f>IF(A1897="","",B1897+Rechner!$E$7)</f>
        <v/>
      </c>
      <c r="D1897">
        <f>J1896</f>
        <v/>
      </c>
      <c r="E1897">
        <f>IF(A1897="",0,D1897*C1897/100/(DATE(YEAR(A1897)+1,1,1)-DATE(YEAR(A1897),1,1)))</f>
        <v/>
      </c>
      <c r="F1897">
        <f>IF(A1897="",0,SUMIF(Rechner!$A$12:$A$21,A1897,Rechner!$B$12:$B$21))</f>
        <v/>
      </c>
      <c r="G1897">
        <f>H1896+E1897</f>
        <v/>
      </c>
      <c r="H1897">
        <f>G1897-MIN(F1897,G1897)</f>
        <v/>
      </c>
      <c r="I1897">
        <f>MIN(F1897-MIN(F1897,G1897),D1897)</f>
        <v/>
      </c>
      <c r="J1897">
        <f>D1897-I1897</f>
        <v/>
      </c>
      <c r="K1897">
        <f>F1897-MIN(F1897,G1897)-I1897</f>
        <v/>
      </c>
    </row>
    <row r="1898">
      <c r="A1898" s="21">
        <f>IF(Rechner!$E$4&lt;&gt;"ok","",IF(Rechner!$E$5+1896&lt;=Rechner!$B$6,Rechner!$E$5+1896,""))</f>
        <v/>
      </c>
      <c r="B1898">
        <f>IF(A1898="","",LOOKUP(A1898,Basiszins!$A$5:$A$18,Basiszins!$B$5:$B$18))</f>
        <v/>
      </c>
      <c r="C1898">
        <f>IF(A1898="","",B1898+Rechner!$E$7)</f>
        <v/>
      </c>
      <c r="D1898">
        <f>J1897</f>
        <v/>
      </c>
      <c r="E1898">
        <f>IF(A1898="",0,D1898*C1898/100/(DATE(YEAR(A1898)+1,1,1)-DATE(YEAR(A1898),1,1)))</f>
        <v/>
      </c>
      <c r="F1898">
        <f>IF(A1898="",0,SUMIF(Rechner!$A$12:$A$21,A1898,Rechner!$B$12:$B$21))</f>
        <v/>
      </c>
      <c r="G1898">
        <f>H1897+E1898</f>
        <v/>
      </c>
      <c r="H1898">
        <f>G1898-MIN(F1898,G1898)</f>
        <v/>
      </c>
      <c r="I1898">
        <f>MIN(F1898-MIN(F1898,G1898),D1898)</f>
        <v/>
      </c>
      <c r="J1898">
        <f>D1898-I1898</f>
        <v/>
      </c>
      <c r="K1898">
        <f>F1898-MIN(F1898,G1898)-I1898</f>
        <v/>
      </c>
    </row>
    <row r="1899">
      <c r="A1899" s="21">
        <f>IF(Rechner!$E$4&lt;&gt;"ok","",IF(Rechner!$E$5+1897&lt;=Rechner!$B$6,Rechner!$E$5+1897,""))</f>
        <v/>
      </c>
      <c r="B1899">
        <f>IF(A1899="","",LOOKUP(A1899,Basiszins!$A$5:$A$18,Basiszins!$B$5:$B$18))</f>
        <v/>
      </c>
      <c r="C1899">
        <f>IF(A1899="","",B1899+Rechner!$E$7)</f>
        <v/>
      </c>
      <c r="D1899">
        <f>J1898</f>
        <v/>
      </c>
      <c r="E1899">
        <f>IF(A1899="",0,D1899*C1899/100/(DATE(YEAR(A1899)+1,1,1)-DATE(YEAR(A1899),1,1)))</f>
        <v/>
      </c>
      <c r="F1899">
        <f>IF(A1899="",0,SUMIF(Rechner!$A$12:$A$21,A1899,Rechner!$B$12:$B$21))</f>
        <v/>
      </c>
      <c r="G1899">
        <f>H1898+E1899</f>
        <v/>
      </c>
      <c r="H1899">
        <f>G1899-MIN(F1899,G1899)</f>
        <v/>
      </c>
      <c r="I1899">
        <f>MIN(F1899-MIN(F1899,G1899),D1899)</f>
        <v/>
      </c>
      <c r="J1899">
        <f>D1899-I1899</f>
        <v/>
      </c>
      <c r="K1899">
        <f>F1899-MIN(F1899,G1899)-I1899</f>
        <v/>
      </c>
    </row>
    <row r="1900">
      <c r="A1900" s="21">
        <f>IF(Rechner!$E$4&lt;&gt;"ok","",IF(Rechner!$E$5+1898&lt;=Rechner!$B$6,Rechner!$E$5+1898,""))</f>
        <v/>
      </c>
      <c r="B1900">
        <f>IF(A1900="","",LOOKUP(A1900,Basiszins!$A$5:$A$18,Basiszins!$B$5:$B$18))</f>
        <v/>
      </c>
      <c r="C1900">
        <f>IF(A1900="","",B1900+Rechner!$E$7)</f>
        <v/>
      </c>
      <c r="D1900">
        <f>J1899</f>
        <v/>
      </c>
      <c r="E1900">
        <f>IF(A1900="",0,D1900*C1900/100/(DATE(YEAR(A1900)+1,1,1)-DATE(YEAR(A1900),1,1)))</f>
        <v/>
      </c>
      <c r="F1900">
        <f>IF(A1900="",0,SUMIF(Rechner!$A$12:$A$21,A1900,Rechner!$B$12:$B$21))</f>
        <v/>
      </c>
      <c r="G1900">
        <f>H1899+E1900</f>
        <v/>
      </c>
      <c r="H1900">
        <f>G1900-MIN(F1900,G1900)</f>
        <v/>
      </c>
      <c r="I1900">
        <f>MIN(F1900-MIN(F1900,G1900),D1900)</f>
        <v/>
      </c>
      <c r="J1900">
        <f>D1900-I1900</f>
        <v/>
      </c>
      <c r="K1900">
        <f>F1900-MIN(F1900,G1900)-I1900</f>
        <v/>
      </c>
    </row>
    <row r="1901">
      <c r="A1901" s="21">
        <f>IF(Rechner!$E$4&lt;&gt;"ok","",IF(Rechner!$E$5+1899&lt;=Rechner!$B$6,Rechner!$E$5+1899,""))</f>
        <v/>
      </c>
      <c r="B1901">
        <f>IF(A1901="","",LOOKUP(A1901,Basiszins!$A$5:$A$18,Basiszins!$B$5:$B$18))</f>
        <v/>
      </c>
      <c r="C1901">
        <f>IF(A1901="","",B1901+Rechner!$E$7)</f>
        <v/>
      </c>
      <c r="D1901">
        <f>J1900</f>
        <v/>
      </c>
      <c r="E1901">
        <f>IF(A1901="",0,D1901*C1901/100/(DATE(YEAR(A1901)+1,1,1)-DATE(YEAR(A1901),1,1)))</f>
        <v/>
      </c>
      <c r="F1901">
        <f>IF(A1901="",0,SUMIF(Rechner!$A$12:$A$21,A1901,Rechner!$B$12:$B$21))</f>
        <v/>
      </c>
      <c r="G1901">
        <f>H1900+E1901</f>
        <v/>
      </c>
      <c r="H1901">
        <f>G1901-MIN(F1901,G1901)</f>
        <v/>
      </c>
      <c r="I1901">
        <f>MIN(F1901-MIN(F1901,G1901),D1901)</f>
        <v/>
      </c>
      <c r="J1901">
        <f>D1901-I1901</f>
        <v/>
      </c>
      <c r="K1901">
        <f>F1901-MIN(F1901,G1901)-I1901</f>
        <v/>
      </c>
    </row>
    <row r="1902">
      <c r="A1902" s="21">
        <f>IF(Rechner!$E$4&lt;&gt;"ok","",IF(Rechner!$E$5+1900&lt;=Rechner!$B$6,Rechner!$E$5+1900,""))</f>
        <v/>
      </c>
      <c r="B1902">
        <f>IF(A1902="","",LOOKUP(A1902,Basiszins!$A$5:$A$18,Basiszins!$B$5:$B$18))</f>
        <v/>
      </c>
      <c r="C1902">
        <f>IF(A1902="","",B1902+Rechner!$E$7)</f>
        <v/>
      </c>
      <c r="D1902">
        <f>J1901</f>
        <v/>
      </c>
      <c r="E1902">
        <f>IF(A1902="",0,D1902*C1902/100/(DATE(YEAR(A1902)+1,1,1)-DATE(YEAR(A1902),1,1)))</f>
        <v/>
      </c>
      <c r="F1902">
        <f>IF(A1902="",0,SUMIF(Rechner!$A$12:$A$21,A1902,Rechner!$B$12:$B$21))</f>
        <v/>
      </c>
      <c r="G1902">
        <f>H1901+E1902</f>
        <v/>
      </c>
      <c r="H1902">
        <f>G1902-MIN(F1902,G1902)</f>
        <v/>
      </c>
      <c r="I1902">
        <f>MIN(F1902-MIN(F1902,G1902),D1902)</f>
        <v/>
      </c>
      <c r="J1902">
        <f>D1902-I1902</f>
        <v/>
      </c>
      <c r="K1902">
        <f>F1902-MIN(F1902,G1902)-I1902</f>
        <v/>
      </c>
    </row>
    <row r="1903">
      <c r="A1903" s="21">
        <f>IF(Rechner!$E$4&lt;&gt;"ok","",IF(Rechner!$E$5+1901&lt;=Rechner!$B$6,Rechner!$E$5+1901,""))</f>
        <v/>
      </c>
      <c r="B1903">
        <f>IF(A1903="","",LOOKUP(A1903,Basiszins!$A$5:$A$18,Basiszins!$B$5:$B$18))</f>
        <v/>
      </c>
      <c r="C1903">
        <f>IF(A1903="","",B1903+Rechner!$E$7)</f>
        <v/>
      </c>
      <c r="D1903">
        <f>J1902</f>
        <v/>
      </c>
      <c r="E1903">
        <f>IF(A1903="",0,D1903*C1903/100/(DATE(YEAR(A1903)+1,1,1)-DATE(YEAR(A1903),1,1)))</f>
        <v/>
      </c>
      <c r="F1903">
        <f>IF(A1903="",0,SUMIF(Rechner!$A$12:$A$21,A1903,Rechner!$B$12:$B$21))</f>
        <v/>
      </c>
      <c r="G1903">
        <f>H1902+E1903</f>
        <v/>
      </c>
      <c r="H1903">
        <f>G1903-MIN(F1903,G1903)</f>
        <v/>
      </c>
      <c r="I1903">
        <f>MIN(F1903-MIN(F1903,G1903),D1903)</f>
        <v/>
      </c>
      <c r="J1903">
        <f>D1903-I1903</f>
        <v/>
      </c>
      <c r="K1903">
        <f>F1903-MIN(F1903,G1903)-I1903</f>
        <v/>
      </c>
    </row>
    <row r="1904">
      <c r="A1904" s="21">
        <f>IF(Rechner!$E$4&lt;&gt;"ok","",IF(Rechner!$E$5+1902&lt;=Rechner!$B$6,Rechner!$E$5+1902,""))</f>
        <v/>
      </c>
      <c r="B1904">
        <f>IF(A1904="","",LOOKUP(A1904,Basiszins!$A$5:$A$18,Basiszins!$B$5:$B$18))</f>
        <v/>
      </c>
      <c r="C1904">
        <f>IF(A1904="","",B1904+Rechner!$E$7)</f>
        <v/>
      </c>
      <c r="D1904">
        <f>J1903</f>
        <v/>
      </c>
      <c r="E1904">
        <f>IF(A1904="",0,D1904*C1904/100/(DATE(YEAR(A1904)+1,1,1)-DATE(YEAR(A1904),1,1)))</f>
        <v/>
      </c>
      <c r="F1904">
        <f>IF(A1904="",0,SUMIF(Rechner!$A$12:$A$21,A1904,Rechner!$B$12:$B$21))</f>
        <v/>
      </c>
      <c r="G1904">
        <f>H1903+E1904</f>
        <v/>
      </c>
      <c r="H1904">
        <f>G1904-MIN(F1904,G1904)</f>
        <v/>
      </c>
      <c r="I1904">
        <f>MIN(F1904-MIN(F1904,G1904),D1904)</f>
        <v/>
      </c>
      <c r="J1904">
        <f>D1904-I1904</f>
        <v/>
      </c>
      <c r="K1904">
        <f>F1904-MIN(F1904,G1904)-I1904</f>
        <v/>
      </c>
    </row>
    <row r="1905">
      <c r="A1905" s="21">
        <f>IF(Rechner!$E$4&lt;&gt;"ok","",IF(Rechner!$E$5+1903&lt;=Rechner!$B$6,Rechner!$E$5+1903,""))</f>
        <v/>
      </c>
      <c r="B1905">
        <f>IF(A1905="","",LOOKUP(A1905,Basiszins!$A$5:$A$18,Basiszins!$B$5:$B$18))</f>
        <v/>
      </c>
      <c r="C1905">
        <f>IF(A1905="","",B1905+Rechner!$E$7)</f>
        <v/>
      </c>
      <c r="D1905">
        <f>J1904</f>
        <v/>
      </c>
      <c r="E1905">
        <f>IF(A1905="",0,D1905*C1905/100/(DATE(YEAR(A1905)+1,1,1)-DATE(YEAR(A1905),1,1)))</f>
        <v/>
      </c>
      <c r="F1905">
        <f>IF(A1905="",0,SUMIF(Rechner!$A$12:$A$21,A1905,Rechner!$B$12:$B$21))</f>
        <v/>
      </c>
      <c r="G1905">
        <f>H1904+E1905</f>
        <v/>
      </c>
      <c r="H1905">
        <f>G1905-MIN(F1905,G1905)</f>
        <v/>
      </c>
      <c r="I1905">
        <f>MIN(F1905-MIN(F1905,G1905),D1905)</f>
        <v/>
      </c>
      <c r="J1905">
        <f>D1905-I1905</f>
        <v/>
      </c>
      <c r="K1905">
        <f>F1905-MIN(F1905,G1905)-I1905</f>
        <v/>
      </c>
    </row>
    <row r="1906">
      <c r="A1906" s="21">
        <f>IF(Rechner!$E$4&lt;&gt;"ok","",IF(Rechner!$E$5+1904&lt;=Rechner!$B$6,Rechner!$E$5+1904,""))</f>
        <v/>
      </c>
      <c r="B1906">
        <f>IF(A1906="","",LOOKUP(A1906,Basiszins!$A$5:$A$18,Basiszins!$B$5:$B$18))</f>
        <v/>
      </c>
      <c r="C1906">
        <f>IF(A1906="","",B1906+Rechner!$E$7)</f>
        <v/>
      </c>
      <c r="D1906">
        <f>J1905</f>
        <v/>
      </c>
      <c r="E1906">
        <f>IF(A1906="",0,D1906*C1906/100/(DATE(YEAR(A1906)+1,1,1)-DATE(YEAR(A1906),1,1)))</f>
        <v/>
      </c>
      <c r="F1906">
        <f>IF(A1906="",0,SUMIF(Rechner!$A$12:$A$21,A1906,Rechner!$B$12:$B$21))</f>
        <v/>
      </c>
      <c r="G1906">
        <f>H1905+E1906</f>
        <v/>
      </c>
      <c r="H1906">
        <f>G1906-MIN(F1906,G1906)</f>
        <v/>
      </c>
      <c r="I1906">
        <f>MIN(F1906-MIN(F1906,G1906),D1906)</f>
        <v/>
      </c>
      <c r="J1906">
        <f>D1906-I1906</f>
        <v/>
      </c>
      <c r="K1906">
        <f>F1906-MIN(F1906,G1906)-I1906</f>
        <v/>
      </c>
    </row>
    <row r="1907">
      <c r="A1907" s="21">
        <f>IF(Rechner!$E$4&lt;&gt;"ok","",IF(Rechner!$E$5+1905&lt;=Rechner!$B$6,Rechner!$E$5+1905,""))</f>
        <v/>
      </c>
      <c r="B1907">
        <f>IF(A1907="","",LOOKUP(A1907,Basiszins!$A$5:$A$18,Basiszins!$B$5:$B$18))</f>
        <v/>
      </c>
      <c r="C1907">
        <f>IF(A1907="","",B1907+Rechner!$E$7)</f>
        <v/>
      </c>
      <c r="D1907">
        <f>J1906</f>
        <v/>
      </c>
      <c r="E1907">
        <f>IF(A1907="",0,D1907*C1907/100/(DATE(YEAR(A1907)+1,1,1)-DATE(YEAR(A1907),1,1)))</f>
        <v/>
      </c>
      <c r="F1907">
        <f>IF(A1907="",0,SUMIF(Rechner!$A$12:$A$21,A1907,Rechner!$B$12:$B$21))</f>
        <v/>
      </c>
      <c r="G1907">
        <f>H1906+E1907</f>
        <v/>
      </c>
      <c r="H1907">
        <f>G1907-MIN(F1907,G1907)</f>
        <v/>
      </c>
      <c r="I1907">
        <f>MIN(F1907-MIN(F1907,G1907),D1907)</f>
        <v/>
      </c>
      <c r="J1907">
        <f>D1907-I1907</f>
        <v/>
      </c>
      <c r="K1907">
        <f>F1907-MIN(F1907,G1907)-I1907</f>
        <v/>
      </c>
    </row>
    <row r="1908">
      <c r="A1908" s="21">
        <f>IF(Rechner!$E$4&lt;&gt;"ok","",IF(Rechner!$E$5+1906&lt;=Rechner!$B$6,Rechner!$E$5+1906,""))</f>
        <v/>
      </c>
      <c r="B1908">
        <f>IF(A1908="","",LOOKUP(A1908,Basiszins!$A$5:$A$18,Basiszins!$B$5:$B$18))</f>
        <v/>
      </c>
      <c r="C1908">
        <f>IF(A1908="","",B1908+Rechner!$E$7)</f>
        <v/>
      </c>
      <c r="D1908">
        <f>J1907</f>
        <v/>
      </c>
      <c r="E1908">
        <f>IF(A1908="",0,D1908*C1908/100/(DATE(YEAR(A1908)+1,1,1)-DATE(YEAR(A1908),1,1)))</f>
        <v/>
      </c>
      <c r="F1908">
        <f>IF(A1908="",0,SUMIF(Rechner!$A$12:$A$21,A1908,Rechner!$B$12:$B$21))</f>
        <v/>
      </c>
      <c r="G1908">
        <f>H1907+E1908</f>
        <v/>
      </c>
      <c r="H1908">
        <f>G1908-MIN(F1908,G1908)</f>
        <v/>
      </c>
      <c r="I1908">
        <f>MIN(F1908-MIN(F1908,G1908),D1908)</f>
        <v/>
      </c>
      <c r="J1908">
        <f>D1908-I1908</f>
        <v/>
      </c>
      <c r="K1908">
        <f>F1908-MIN(F1908,G1908)-I1908</f>
        <v/>
      </c>
    </row>
    <row r="1909">
      <c r="A1909" s="21">
        <f>IF(Rechner!$E$4&lt;&gt;"ok","",IF(Rechner!$E$5+1907&lt;=Rechner!$B$6,Rechner!$E$5+1907,""))</f>
        <v/>
      </c>
      <c r="B1909">
        <f>IF(A1909="","",LOOKUP(A1909,Basiszins!$A$5:$A$18,Basiszins!$B$5:$B$18))</f>
        <v/>
      </c>
      <c r="C1909">
        <f>IF(A1909="","",B1909+Rechner!$E$7)</f>
        <v/>
      </c>
      <c r="D1909">
        <f>J1908</f>
        <v/>
      </c>
      <c r="E1909">
        <f>IF(A1909="",0,D1909*C1909/100/(DATE(YEAR(A1909)+1,1,1)-DATE(YEAR(A1909),1,1)))</f>
        <v/>
      </c>
      <c r="F1909">
        <f>IF(A1909="",0,SUMIF(Rechner!$A$12:$A$21,A1909,Rechner!$B$12:$B$21))</f>
        <v/>
      </c>
      <c r="G1909">
        <f>H1908+E1909</f>
        <v/>
      </c>
      <c r="H1909">
        <f>G1909-MIN(F1909,G1909)</f>
        <v/>
      </c>
      <c r="I1909">
        <f>MIN(F1909-MIN(F1909,G1909),D1909)</f>
        <v/>
      </c>
      <c r="J1909">
        <f>D1909-I1909</f>
        <v/>
      </c>
      <c r="K1909">
        <f>F1909-MIN(F1909,G1909)-I1909</f>
        <v/>
      </c>
    </row>
    <row r="1910">
      <c r="A1910" s="21">
        <f>IF(Rechner!$E$4&lt;&gt;"ok","",IF(Rechner!$E$5+1908&lt;=Rechner!$B$6,Rechner!$E$5+1908,""))</f>
        <v/>
      </c>
      <c r="B1910">
        <f>IF(A1910="","",LOOKUP(A1910,Basiszins!$A$5:$A$18,Basiszins!$B$5:$B$18))</f>
        <v/>
      </c>
      <c r="C1910">
        <f>IF(A1910="","",B1910+Rechner!$E$7)</f>
        <v/>
      </c>
      <c r="D1910">
        <f>J1909</f>
        <v/>
      </c>
      <c r="E1910">
        <f>IF(A1910="",0,D1910*C1910/100/(DATE(YEAR(A1910)+1,1,1)-DATE(YEAR(A1910),1,1)))</f>
        <v/>
      </c>
      <c r="F1910">
        <f>IF(A1910="",0,SUMIF(Rechner!$A$12:$A$21,A1910,Rechner!$B$12:$B$21))</f>
        <v/>
      </c>
      <c r="G1910">
        <f>H1909+E1910</f>
        <v/>
      </c>
      <c r="H1910">
        <f>G1910-MIN(F1910,G1910)</f>
        <v/>
      </c>
      <c r="I1910">
        <f>MIN(F1910-MIN(F1910,G1910),D1910)</f>
        <v/>
      </c>
      <c r="J1910">
        <f>D1910-I1910</f>
        <v/>
      </c>
      <c r="K1910">
        <f>F1910-MIN(F1910,G1910)-I1910</f>
        <v/>
      </c>
    </row>
    <row r="1911">
      <c r="A1911" s="21">
        <f>IF(Rechner!$E$4&lt;&gt;"ok","",IF(Rechner!$E$5+1909&lt;=Rechner!$B$6,Rechner!$E$5+1909,""))</f>
        <v/>
      </c>
      <c r="B1911">
        <f>IF(A1911="","",LOOKUP(A1911,Basiszins!$A$5:$A$18,Basiszins!$B$5:$B$18))</f>
        <v/>
      </c>
      <c r="C1911">
        <f>IF(A1911="","",B1911+Rechner!$E$7)</f>
        <v/>
      </c>
      <c r="D1911">
        <f>J1910</f>
        <v/>
      </c>
      <c r="E1911">
        <f>IF(A1911="",0,D1911*C1911/100/(DATE(YEAR(A1911)+1,1,1)-DATE(YEAR(A1911),1,1)))</f>
        <v/>
      </c>
      <c r="F1911">
        <f>IF(A1911="",0,SUMIF(Rechner!$A$12:$A$21,A1911,Rechner!$B$12:$B$21))</f>
        <v/>
      </c>
      <c r="G1911">
        <f>H1910+E1911</f>
        <v/>
      </c>
      <c r="H1911">
        <f>G1911-MIN(F1911,G1911)</f>
        <v/>
      </c>
      <c r="I1911">
        <f>MIN(F1911-MIN(F1911,G1911),D1911)</f>
        <v/>
      </c>
      <c r="J1911">
        <f>D1911-I1911</f>
        <v/>
      </c>
      <c r="K1911">
        <f>F1911-MIN(F1911,G1911)-I1911</f>
        <v/>
      </c>
    </row>
    <row r="1912">
      <c r="A1912" s="21">
        <f>IF(Rechner!$E$4&lt;&gt;"ok","",IF(Rechner!$E$5+1910&lt;=Rechner!$B$6,Rechner!$E$5+1910,""))</f>
        <v/>
      </c>
      <c r="B1912">
        <f>IF(A1912="","",LOOKUP(A1912,Basiszins!$A$5:$A$18,Basiszins!$B$5:$B$18))</f>
        <v/>
      </c>
      <c r="C1912">
        <f>IF(A1912="","",B1912+Rechner!$E$7)</f>
        <v/>
      </c>
      <c r="D1912">
        <f>J1911</f>
        <v/>
      </c>
      <c r="E1912">
        <f>IF(A1912="",0,D1912*C1912/100/(DATE(YEAR(A1912)+1,1,1)-DATE(YEAR(A1912),1,1)))</f>
        <v/>
      </c>
      <c r="F1912">
        <f>IF(A1912="",0,SUMIF(Rechner!$A$12:$A$21,A1912,Rechner!$B$12:$B$21))</f>
        <v/>
      </c>
      <c r="G1912">
        <f>H1911+E1912</f>
        <v/>
      </c>
      <c r="H1912">
        <f>G1912-MIN(F1912,G1912)</f>
        <v/>
      </c>
      <c r="I1912">
        <f>MIN(F1912-MIN(F1912,G1912),D1912)</f>
        <v/>
      </c>
      <c r="J1912">
        <f>D1912-I1912</f>
        <v/>
      </c>
      <c r="K1912">
        <f>F1912-MIN(F1912,G1912)-I1912</f>
        <v/>
      </c>
    </row>
    <row r="1913">
      <c r="A1913" s="21">
        <f>IF(Rechner!$E$4&lt;&gt;"ok","",IF(Rechner!$E$5+1911&lt;=Rechner!$B$6,Rechner!$E$5+1911,""))</f>
        <v/>
      </c>
      <c r="B1913">
        <f>IF(A1913="","",LOOKUP(A1913,Basiszins!$A$5:$A$18,Basiszins!$B$5:$B$18))</f>
        <v/>
      </c>
      <c r="C1913">
        <f>IF(A1913="","",B1913+Rechner!$E$7)</f>
        <v/>
      </c>
      <c r="D1913">
        <f>J1912</f>
        <v/>
      </c>
      <c r="E1913">
        <f>IF(A1913="",0,D1913*C1913/100/(DATE(YEAR(A1913)+1,1,1)-DATE(YEAR(A1913),1,1)))</f>
        <v/>
      </c>
      <c r="F1913">
        <f>IF(A1913="",0,SUMIF(Rechner!$A$12:$A$21,A1913,Rechner!$B$12:$B$21))</f>
        <v/>
      </c>
      <c r="G1913">
        <f>H1912+E1913</f>
        <v/>
      </c>
      <c r="H1913">
        <f>G1913-MIN(F1913,G1913)</f>
        <v/>
      </c>
      <c r="I1913">
        <f>MIN(F1913-MIN(F1913,G1913),D1913)</f>
        <v/>
      </c>
      <c r="J1913">
        <f>D1913-I1913</f>
        <v/>
      </c>
      <c r="K1913">
        <f>F1913-MIN(F1913,G1913)-I1913</f>
        <v/>
      </c>
    </row>
    <row r="1914">
      <c r="A1914" s="21">
        <f>IF(Rechner!$E$4&lt;&gt;"ok","",IF(Rechner!$E$5+1912&lt;=Rechner!$B$6,Rechner!$E$5+1912,""))</f>
        <v/>
      </c>
      <c r="B1914">
        <f>IF(A1914="","",LOOKUP(A1914,Basiszins!$A$5:$A$18,Basiszins!$B$5:$B$18))</f>
        <v/>
      </c>
      <c r="C1914">
        <f>IF(A1914="","",B1914+Rechner!$E$7)</f>
        <v/>
      </c>
      <c r="D1914">
        <f>J1913</f>
        <v/>
      </c>
      <c r="E1914">
        <f>IF(A1914="",0,D1914*C1914/100/(DATE(YEAR(A1914)+1,1,1)-DATE(YEAR(A1914),1,1)))</f>
        <v/>
      </c>
      <c r="F1914">
        <f>IF(A1914="",0,SUMIF(Rechner!$A$12:$A$21,A1914,Rechner!$B$12:$B$21))</f>
        <v/>
      </c>
      <c r="G1914">
        <f>H1913+E1914</f>
        <v/>
      </c>
      <c r="H1914">
        <f>G1914-MIN(F1914,G1914)</f>
        <v/>
      </c>
      <c r="I1914">
        <f>MIN(F1914-MIN(F1914,G1914),D1914)</f>
        <v/>
      </c>
      <c r="J1914">
        <f>D1914-I1914</f>
        <v/>
      </c>
      <c r="K1914">
        <f>F1914-MIN(F1914,G1914)-I1914</f>
        <v/>
      </c>
    </row>
    <row r="1915">
      <c r="A1915" s="21">
        <f>IF(Rechner!$E$4&lt;&gt;"ok","",IF(Rechner!$E$5+1913&lt;=Rechner!$B$6,Rechner!$E$5+1913,""))</f>
        <v/>
      </c>
      <c r="B1915">
        <f>IF(A1915="","",LOOKUP(A1915,Basiszins!$A$5:$A$18,Basiszins!$B$5:$B$18))</f>
        <v/>
      </c>
      <c r="C1915">
        <f>IF(A1915="","",B1915+Rechner!$E$7)</f>
        <v/>
      </c>
      <c r="D1915">
        <f>J1914</f>
        <v/>
      </c>
      <c r="E1915">
        <f>IF(A1915="",0,D1915*C1915/100/(DATE(YEAR(A1915)+1,1,1)-DATE(YEAR(A1915),1,1)))</f>
        <v/>
      </c>
      <c r="F1915">
        <f>IF(A1915="",0,SUMIF(Rechner!$A$12:$A$21,A1915,Rechner!$B$12:$B$21))</f>
        <v/>
      </c>
      <c r="G1915">
        <f>H1914+E1915</f>
        <v/>
      </c>
      <c r="H1915">
        <f>G1915-MIN(F1915,G1915)</f>
        <v/>
      </c>
      <c r="I1915">
        <f>MIN(F1915-MIN(F1915,G1915),D1915)</f>
        <v/>
      </c>
      <c r="J1915">
        <f>D1915-I1915</f>
        <v/>
      </c>
      <c r="K1915">
        <f>F1915-MIN(F1915,G1915)-I1915</f>
        <v/>
      </c>
    </row>
    <row r="1916">
      <c r="A1916" s="21">
        <f>IF(Rechner!$E$4&lt;&gt;"ok","",IF(Rechner!$E$5+1914&lt;=Rechner!$B$6,Rechner!$E$5+1914,""))</f>
        <v/>
      </c>
      <c r="B1916">
        <f>IF(A1916="","",LOOKUP(A1916,Basiszins!$A$5:$A$18,Basiszins!$B$5:$B$18))</f>
        <v/>
      </c>
      <c r="C1916">
        <f>IF(A1916="","",B1916+Rechner!$E$7)</f>
        <v/>
      </c>
      <c r="D1916">
        <f>J1915</f>
        <v/>
      </c>
      <c r="E1916">
        <f>IF(A1916="",0,D1916*C1916/100/(DATE(YEAR(A1916)+1,1,1)-DATE(YEAR(A1916),1,1)))</f>
        <v/>
      </c>
      <c r="F1916">
        <f>IF(A1916="",0,SUMIF(Rechner!$A$12:$A$21,A1916,Rechner!$B$12:$B$21))</f>
        <v/>
      </c>
      <c r="G1916">
        <f>H1915+E1916</f>
        <v/>
      </c>
      <c r="H1916">
        <f>G1916-MIN(F1916,G1916)</f>
        <v/>
      </c>
      <c r="I1916">
        <f>MIN(F1916-MIN(F1916,G1916),D1916)</f>
        <v/>
      </c>
      <c r="J1916">
        <f>D1916-I1916</f>
        <v/>
      </c>
      <c r="K1916">
        <f>F1916-MIN(F1916,G1916)-I1916</f>
        <v/>
      </c>
    </row>
    <row r="1917">
      <c r="A1917" s="21">
        <f>IF(Rechner!$E$4&lt;&gt;"ok","",IF(Rechner!$E$5+1915&lt;=Rechner!$B$6,Rechner!$E$5+1915,""))</f>
        <v/>
      </c>
      <c r="B1917">
        <f>IF(A1917="","",LOOKUP(A1917,Basiszins!$A$5:$A$18,Basiszins!$B$5:$B$18))</f>
        <v/>
      </c>
      <c r="C1917">
        <f>IF(A1917="","",B1917+Rechner!$E$7)</f>
        <v/>
      </c>
      <c r="D1917">
        <f>J1916</f>
        <v/>
      </c>
      <c r="E1917">
        <f>IF(A1917="",0,D1917*C1917/100/(DATE(YEAR(A1917)+1,1,1)-DATE(YEAR(A1917),1,1)))</f>
        <v/>
      </c>
      <c r="F1917">
        <f>IF(A1917="",0,SUMIF(Rechner!$A$12:$A$21,A1917,Rechner!$B$12:$B$21))</f>
        <v/>
      </c>
      <c r="G1917">
        <f>H1916+E1917</f>
        <v/>
      </c>
      <c r="H1917">
        <f>G1917-MIN(F1917,G1917)</f>
        <v/>
      </c>
      <c r="I1917">
        <f>MIN(F1917-MIN(F1917,G1917),D1917)</f>
        <v/>
      </c>
      <c r="J1917">
        <f>D1917-I1917</f>
        <v/>
      </c>
      <c r="K1917">
        <f>F1917-MIN(F1917,G1917)-I1917</f>
        <v/>
      </c>
    </row>
    <row r="1918">
      <c r="A1918" s="21">
        <f>IF(Rechner!$E$4&lt;&gt;"ok","",IF(Rechner!$E$5+1916&lt;=Rechner!$B$6,Rechner!$E$5+1916,""))</f>
        <v/>
      </c>
      <c r="B1918">
        <f>IF(A1918="","",LOOKUP(A1918,Basiszins!$A$5:$A$18,Basiszins!$B$5:$B$18))</f>
        <v/>
      </c>
      <c r="C1918">
        <f>IF(A1918="","",B1918+Rechner!$E$7)</f>
        <v/>
      </c>
      <c r="D1918">
        <f>J1917</f>
        <v/>
      </c>
      <c r="E1918">
        <f>IF(A1918="",0,D1918*C1918/100/(DATE(YEAR(A1918)+1,1,1)-DATE(YEAR(A1918),1,1)))</f>
        <v/>
      </c>
      <c r="F1918">
        <f>IF(A1918="",0,SUMIF(Rechner!$A$12:$A$21,A1918,Rechner!$B$12:$B$21))</f>
        <v/>
      </c>
      <c r="G1918">
        <f>H1917+E1918</f>
        <v/>
      </c>
      <c r="H1918">
        <f>G1918-MIN(F1918,G1918)</f>
        <v/>
      </c>
      <c r="I1918">
        <f>MIN(F1918-MIN(F1918,G1918),D1918)</f>
        <v/>
      </c>
      <c r="J1918">
        <f>D1918-I1918</f>
        <v/>
      </c>
      <c r="K1918">
        <f>F1918-MIN(F1918,G1918)-I1918</f>
        <v/>
      </c>
    </row>
    <row r="1919">
      <c r="A1919" s="21">
        <f>IF(Rechner!$E$4&lt;&gt;"ok","",IF(Rechner!$E$5+1917&lt;=Rechner!$B$6,Rechner!$E$5+1917,""))</f>
        <v/>
      </c>
      <c r="B1919">
        <f>IF(A1919="","",LOOKUP(A1919,Basiszins!$A$5:$A$18,Basiszins!$B$5:$B$18))</f>
        <v/>
      </c>
      <c r="C1919">
        <f>IF(A1919="","",B1919+Rechner!$E$7)</f>
        <v/>
      </c>
      <c r="D1919">
        <f>J1918</f>
        <v/>
      </c>
      <c r="E1919">
        <f>IF(A1919="",0,D1919*C1919/100/(DATE(YEAR(A1919)+1,1,1)-DATE(YEAR(A1919),1,1)))</f>
        <v/>
      </c>
      <c r="F1919">
        <f>IF(A1919="",0,SUMIF(Rechner!$A$12:$A$21,A1919,Rechner!$B$12:$B$21))</f>
        <v/>
      </c>
      <c r="G1919">
        <f>H1918+E1919</f>
        <v/>
      </c>
      <c r="H1919">
        <f>G1919-MIN(F1919,G1919)</f>
        <v/>
      </c>
      <c r="I1919">
        <f>MIN(F1919-MIN(F1919,G1919),D1919)</f>
        <v/>
      </c>
      <c r="J1919">
        <f>D1919-I1919</f>
        <v/>
      </c>
      <c r="K1919">
        <f>F1919-MIN(F1919,G1919)-I1919</f>
        <v/>
      </c>
    </row>
    <row r="1920">
      <c r="A1920" s="21">
        <f>IF(Rechner!$E$4&lt;&gt;"ok","",IF(Rechner!$E$5+1918&lt;=Rechner!$B$6,Rechner!$E$5+1918,""))</f>
        <v/>
      </c>
      <c r="B1920">
        <f>IF(A1920="","",LOOKUP(A1920,Basiszins!$A$5:$A$18,Basiszins!$B$5:$B$18))</f>
        <v/>
      </c>
      <c r="C1920">
        <f>IF(A1920="","",B1920+Rechner!$E$7)</f>
        <v/>
      </c>
      <c r="D1920">
        <f>J1919</f>
        <v/>
      </c>
      <c r="E1920">
        <f>IF(A1920="",0,D1920*C1920/100/(DATE(YEAR(A1920)+1,1,1)-DATE(YEAR(A1920),1,1)))</f>
        <v/>
      </c>
      <c r="F1920">
        <f>IF(A1920="",0,SUMIF(Rechner!$A$12:$A$21,A1920,Rechner!$B$12:$B$21))</f>
        <v/>
      </c>
      <c r="G1920">
        <f>H1919+E1920</f>
        <v/>
      </c>
      <c r="H1920">
        <f>G1920-MIN(F1920,G1920)</f>
        <v/>
      </c>
      <c r="I1920">
        <f>MIN(F1920-MIN(F1920,G1920),D1920)</f>
        <v/>
      </c>
      <c r="J1920">
        <f>D1920-I1920</f>
        <v/>
      </c>
      <c r="K1920">
        <f>F1920-MIN(F1920,G1920)-I1920</f>
        <v/>
      </c>
    </row>
    <row r="1921">
      <c r="A1921" s="21">
        <f>IF(Rechner!$E$4&lt;&gt;"ok","",IF(Rechner!$E$5+1919&lt;=Rechner!$B$6,Rechner!$E$5+1919,""))</f>
        <v/>
      </c>
      <c r="B1921">
        <f>IF(A1921="","",LOOKUP(A1921,Basiszins!$A$5:$A$18,Basiszins!$B$5:$B$18))</f>
        <v/>
      </c>
      <c r="C1921">
        <f>IF(A1921="","",B1921+Rechner!$E$7)</f>
        <v/>
      </c>
      <c r="D1921">
        <f>J1920</f>
        <v/>
      </c>
      <c r="E1921">
        <f>IF(A1921="",0,D1921*C1921/100/(DATE(YEAR(A1921)+1,1,1)-DATE(YEAR(A1921),1,1)))</f>
        <v/>
      </c>
      <c r="F1921">
        <f>IF(A1921="",0,SUMIF(Rechner!$A$12:$A$21,A1921,Rechner!$B$12:$B$21))</f>
        <v/>
      </c>
      <c r="G1921">
        <f>H1920+E1921</f>
        <v/>
      </c>
      <c r="H1921">
        <f>G1921-MIN(F1921,G1921)</f>
        <v/>
      </c>
      <c r="I1921">
        <f>MIN(F1921-MIN(F1921,G1921),D1921)</f>
        <v/>
      </c>
      <c r="J1921">
        <f>D1921-I1921</f>
        <v/>
      </c>
      <c r="K1921">
        <f>F1921-MIN(F1921,G1921)-I1921</f>
        <v/>
      </c>
    </row>
    <row r="1922">
      <c r="A1922" s="21">
        <f>IF(Rechner!$E$4&lt;&gt;"ok","",IF(Rechner!$E$5+1920&lt;=Rechner!$B$6,Rechner!$E$5+1920,""))</f>
        <v/>
      </c>
      <c r="B1922">
        <f>IF(A1922="","",LOOKUP(A1922,Basiszins!$A$5:$A$18,Basiszins!$B$5:$B$18))</f>
        <v/>
      </c>
      <c r="C1922">
        <f>IF(A1922="","",B1922+Rechner!$E$7)</f>
        <v/>
      </c>
      <c r="D1922">
        <f>J1921</f>
        <v/>
      </c>
      <c r="E1922">
        <f>IF(A1922="",0,D1922*C1922/100/(DATE(YEAR(A1922)+1,1,1)-DATE(YEAR(A1922),1,1)))</f>
        <v/>
      </c>
      <c r="F1922">
        <f>IF(A1922="",0,SUMIF(Rechner!$A$12:$A$21,A1922,Rechner!$B$12:$B$21))</f>
        <v/>
      </c>
      <c r="G1922">
        <f>H1921+E1922</f>
        <v/>
      </c>
      <c r="H1922">
        <f>G1922-MIN(F1922,G1922)</f>
        <v/>
      </c>
      <c r="I1922">
        <f>MIN(F1922-MIN(F1922,G1922),D1922)</f>
        <v/>
      </c>
      <c r="J1922">
        <f>D1922-I1922</f>
        <v/>
      </c>
      <c r="K1922">
        <f>F1922-MIN(F1922,G1922)-I1922</f>
        <v/>
      </c>
    </row>
    <row r="1923">
      <c r="A1923" s="21">
        <f>IF(Rechner!$E$4&lt;&gt;"ok","",IF(Rechner!$E$5+1921&lt;=Rechner!$B$6,Rechner!$E$5+1921,""))</f>
        <v/>
      </c>
      <c r="B1923">
        <f>IF(A1923="","",LOOKUP(A1923,Basiszins!$A$5:$A$18,Basiszins!$B$5:$B$18))</f>
        <v/>
      </c>
      <c r="C1923">
        <f>IF(A1923="","",B1923+Rechner!$E$7)</f>
        <v/>
      </c>
      <c r="D1923">
        <f>J1922</f>
        <v/>
      </c>
      <c r="E1923">
        <f>IF(A1923="",0,D1923*C1923/100/(DATE(YEAR(A1923)+1,1,1)-DATE(YEAR(A1923),1,1)))</f>
        <v/>
      </c>
      <c r="F1923">
        <f>IF(A1923="",0,SUMIF(Rechner!$A$12:$A$21,A1923,Rechner!$B$12:$B$21))</f>
        <v/>
      </c>
      <c r="G1923">
        <f>H1922+E1923</f>
        <v/>
      </c>
      <c r="H1923">
        <f>G1923-MIN(F1923,G1923)</f>
        <v/>
      </c>
      <c r="I1923">
        <f>MIN(F1923-MIN(F1923,G1923),D1923)</f>
        <v/>
      </c>
      <c r="J1923">
        <f>D1923-I1923</f>
        <v/>
      </c>
      <c r="K1923">
        <f>F1923-MIN(F1923,G1923)-I1923</f>
        <v/>
      </c>
    </row>
    <row r="1924">
      <c r="A1924" s="21">
        <f>IF(Rechner!$E$4&lt;&gt;"ok","",IF(Rechner!$E$5+1922&lt;=Rechner!$B$6,Rechner!$E$5+1922,""))</f>
        <v/>
      </c>
      <c r="B1924">
        <f>IF(A1924="","",LOOKUP(A1924,Basiszins!$A$5:$A$18,Basiszins!$B$5:$B$18))</f>
        <v/>
      </c>
      <c r="C1924">
        <f>IF(A1924="","",B1924+Rechner!$E$7)</f>
        <v/>
      </c>
      <c r="D1924">
        <f>J1923</f>
        <v/>
      </c>
      <c r="E1924">
        <f>IF(A1924="",0,D1924*C1924/100/(DATE(YEAR(A1924)+1,1,1)-DATE(YEAR(A1924),1,1)))</f>
        <v/>
      </c>
      <c r="F1924">
        <f>IF(A1924="",0,SUMIF(Rechner!$A$12:$A$21,A1924,Rechner!$B$12:$B$21))</f>
        <v/>
      </c>
      <c r="G1924">
        <f>H1923+E1924</f>
        <v/>
      </c>
      <c r="H1924">
        <f>G1924-MIN(F1924,G1924)</f>
        <v/>
      </c>
      <c r="I1924">
        <f>MIN(F1924-MIN(F1924,G1924),D1924)</f>
        <v/>
      </c>
      <c r="J1924">
        <f>D1924-I1924</f>
        <v/>
      </c>
      <c r="K1924">
        <f>F1924-MIN(F1924,G1924)-I1924</f>
        <v/>
      </c>
    </row>
    <row r="1925">
      <c r="A1925" s="21">
        <f>IF(Rechner!$E$4&lt;&gt;"ok","",IF(Rechner!$E$5+1923&lt;=Rechner!$B$6,Rechner!$E$5+1923,""))</f>
        <v/>
      </c>
      <c r="B1925">
        <f>IF(A1925="","",LOOKUP(A1925,Basiszins!$A$5:$A$18,Basiszins!$B$5:$B$18))</f>
        <v/>
      </c>
      <c r="C1925">
        <f>IF(A1925="","",B1925+Rechner!$E$7)</f>
        <v/>
      </c>
      <c r="D1925">
        <f>J1924</f>
        <v/>
      </c>
      <c r="E1925">
        <f>IF(A1925="",0,D1925*C1925/100/(DATE(YEAR(A1925)+1,1,1)-DATE(YEAR(A1925),1,1)))</f>
        <v/>
      </c>
      <c r="F1925">
        <f>IF(A1925="",0,SUMIF(Rechner!$A$12:$A$21,A1925,Rechner!$B$12:$B$21))</f>
        <v/>
      </c>
      <c r="G1925">
        <f>H1924+E1925</f>
        <v/>
      </c>
      <c r="H1925">
        <f>G1925-MIN(F1925,G1925)</f>
        <v/>
      </c>
      <c r="I1925">
        <f>MIN(F1925-MIN(F1925,G1925),D1925)</f>
        <v/>
      </c>
      <c r="J1925">
        <f>D1925-I1925</f>
        <v/>
      </c>
      <c r="K1925">
        <f>F1925-MIN(F1925,G1925)-I1925</f>
        <v/>
      </c>
    </row>
    <row r="1926">
      <c r="A1926" s="21">
        <f>IF(Rechner!$E$4&lt;&gt;"ok","",IF(Rechner!$E$5+1924&lt;=Rechner!$B$6,Rechner!$E$5+1924,""))</f>
        <v/>
      </c>
      <c r="B1926">
        <f>IF(A1926="","",LOOKUP(A1926,Basiszins!$A$5:$A$18,Basiszins!$B$5:$B$18))</f>
        <v/>
      </c>
      <c r="C1926">
        <f>IF(A1926="","",B1926+Rechner!$E$7)</f>
        <v/>
      </c>
      <c r="D1926">
        <f>J1925</f>
        <v/>
      </c>
      <c r="E1926">
        <f>IF(A1926="",0,D1926*C1926/100/(DATE(YEAR(A1926)+1,1,1)-DATE(YEAR(A1926),1,1)))</f>
        <v/>
      </c>
      <c r="F1926">
        <f>IF(A1926="",0,SUMIF(Rechner!$A$12:$A$21,A1926,Rechner!$B$12:$B$21))</f>
        <v/>
      </c>
      <c r="G1926">
        <f>H1925+E1926</f>
        <v/>
      </c>
      <c r="H1926">
        <f>G1926-MIN(F1926,G1926)</f>
        <v/>
      </c>
      <c r="I1926">
        <f>MIN(F1926-MIN(F1926,G1926),D1926)</f>
        <v/>
      </c>
      <c r="J1926">
        <f>D1926-I1926</f>
        <v/>
      </c>
      <c r="K1926">
        <f>F1926-MIN(F1926,G1926)-I1926</f>
        <v/>
      </c>
    </row>
    <row r="1927">
      <c r="A1927" s="21">
        <f>IF(Rechner!$E$4&lt;&gt;"ok","",IF(Rechner!$E$5+1925&lt;=Rechner!$B$6,Rechner!$E$5+1925,""))</f>
        <v/>
      </c>
      <c r="B1927">
        <f>IF(A1927="","",LOOKUP(A1927,Basiszins!$A$5:$A$18,Basiszins!$B$5:$B$18))</f>
        <v/>
      </c>
      <c r="C1927">
        <f>IF(A1927="","",B1927+Rechner!$E$7)</f>
        <v/>
      </c>
      <c r="D1927">
        <f>J1926</f>
        <v/>
      </c>
      <c r="E1927">
        <f>IF(A1927="",0,D1927*C1927/100/(DATE(YEAR(A1927)+1,1,1)-DATE(YEAR(A1927),1,1)))</f>
        <v/>
      </c>
      <c r="F1927">
        <f>IF(A1927="",0,SUMIF(Rechner!$A$12:$A$21,A1927,Rechner!$B$12:$B$21))</f>
        <v/>
      </c>
      <c r="G1927">
        <f>H1926+E1927</f>
        <v/>
      </c>
      <c r="H1927">
        <f>G1927-MIN(F1927,G1927)</f>
        <v/>
      </c>
      <c r="I1927">
        <f>MIN(F1927-MIN(F1927,G1927),D1927)</f>
        <v/>
      </c>
      <c r="J1927">
        <f>D1927-I1927</f>
        <v/>
      </c>
      <c r="K1927">
        <f>F1927-MIN(F1927,G1927)-I1927</f>
        <v/>
      </c>
    </row>
    <row r="1928">
      <c r="A1928" s="21">
        <f>IF(Rechner!$E$4&lt;&gt;"ok","",IF(Rechner!$E$5+1926&lt;=Rechner!$B$6,Rechner!$E$5+1926,""))</f>
        <v/>
      </c>
      <c r="B1928">
        <f>IF(A1928="","",LOOKUP(A1928,Basiszins!$A$5:$A$18,Basiszins!$B$5:$B$18))</f>
        <v/>
      </c>
      <c r="C1928">
        <f>IF(A1928="","",B1928+Rechner!$E$7)</f>
        <v/>
      </c>
      <c r="D1928">
        <f>J1927</f>
        <v/>
      </c>
      <c r="E1928">
        <f>IF(A1928="",0,D1928*C1928/100/(DATE(YEAR(A1928)+1,1,1)-DATE(YEAR(A1928),1,1)))</f>
        <v/>
      </c>
      <c r="F1928">
        <f>IF(A1928="",0,SUMIF(Rechner!$A$12:$A$21,A1928,Rechner!$B$12:$B$21))</f>
        <v/>
      </c>
      <c r="G1928">
        <f>H1927+E1928</f>
        <v/>
      </c>
      <c r="H1928">
        <f>G1928-MIN(F1928,G1928)</f>
        <v/>
      </c>
      <c r="I1928">
        <f>MIN(F1928-MIN(F1928,G1928),D1928)</f>
        <v/>
      </c>
      <c r="J1928">
        <f>D1928-I1928</f>
        <v/>
      </c>
      <c r="K1928">
        <f>F1928-MIN(F1928,G1928)-I1928</f>
        <v/>
      </c>
    </row>
    <row r="1929">
      <c r="A1929" s="21">
        <f>IF(Rechner!$E$4&lt;&gt;"ok","",IF(Rechner!$E$5+1927&lt;=Rechner!$B$6,Rechner!$E$5+1927,""))</f>
        <v/>
      </c>
      <c r="B1929">
        <f>IF(A1929="","",LOOKUP(A1929,Basiszins!$A$5:$A$18,Basiszins!$B$5:$B$18))</f>
        <v/>
      </c>
      <c r="C1929">
        <f>IF(A1929="","",B1929+Rechner!$E$7)</f>
        <v/>
      </c>
      <c r="D1929">
        <f>J1928</f>
        <v/>
      </c>
      <c r="E1929">
        <f>IF(A1929="",0,D1929*C1929/100/(DATE(YEAR(A1929)+1,1,1)-DATE(YEAR(A1929),1,1)))</f>
        <v/>
      </c>
      <c r="F1929">
        <f>IF(A1929="",0,SUMIF(Rechner!$A$12:$A$21,A1929,Rechner!$B$12:$B$21))</f>
        <v/>
      </c>
      <c r="G1929">
        <f>H1928+E1929</f>
        <v/>
      </c>
      <c r="H1929">
        <f>G1929-MIN(F1929,G1929)</f>
        <v/>
      </c>
      <c r="I1929">
        <f>MIN(F1929-MIN(F1929,G1929),D1929)</f>
        <v/>
      </c>
      <c r="J1929">
        <f>D1929-I1929</f>
        <v/>
      </c>
      <c r="K1929">
        <f>F1929-MIN(F1929,G1929)-I1929</f>
        <v/>
      </c>
    </row>
    <row r="1930">
      <c r="A1930" s="21">
        <f>IF(Rechner!$E$4&lt;&gt;"ok","",IF(Rechner!$E$5+1928&lt;=Rechner!$B$6,Rechner!$E$5+1928,""))</f>
        <v/>
      </c>
      <c r="B1930">
        <f>IF(A1930="","",LOOKUP(A1930,Basiszins!$A$5:$A$18,Basiszins!$B$5:$B$18))</f>
        <v/>
      </c>
      <c r="C1930">
        <f>IF(A1930="","",B1930+Rechner!$E$7)</f>
        <v/>
      </c>
      <c r="D1930">
        <f>J1929</f>
        <v/>
      </c>
      <c r="E1930">
        <f>IF(A1930="",0,D1930*C1930/100/(DATE(YEAR(A1930)+1,1,1)-DATE(YEAR(A1930),1,1)))</f>
        <v/>
      </c>
      <c r="F1930">
        <f>IF(A1930="",0,SUMIF(Rechner!$A$12:$A$21,A1930,Rechner!$B$12:$B$21))</f>
        <v/>
      </c>
      <c r="G1930">
        <f>H1929+E1930</f>
        <v/>
      </c>
      <c r="H1930">
        <f>G1930-MIN(F1930,G1930)</f>
        <v/>
      </c>
      <c r="I1930">
        <f>MIN(F1930-MIN(F1930,G1930),D1930)</f>
        <v/>
      </c>
      <c r="J1930">
        <f>D1930-I1930</f>
        <v/>
      </c>
      <c r="K1930">
        <f>F1930-MIN(F1930,G1930)-I1930</f>
        <v/>
      </c>
    </row>
    <row r="1931">
      <c r="A1931" s="21">
        <f>IF(Rechner!$E$4&lt;&gt;"ok","",IF(Rechner!$E$5+1929&lt;=Rechner!$B$6,Rechner!$E$5+1929,""))</f>
        <v/>
      </c>
      <c r="B1931">
        <f>IF(A1931="","",LOOKUP(A1931,Basiszins!$A$5:$A$18,Basiszins!$B$5:$B$18))</f>
        <v/>
      </c>
      <c r="C1931">
        <f>IF(A1931="","",B1931+Rechner!$E$7)</f>
        <v/>
      </c>
      <c r="D1931">
        <f>J1930</f>
        <v/>
      </c>
      <c r="E1931">
        <f>IF(A1931="",0,D1931*C1931/100/(DATE(YEAR(A1931)+1,1,1)-DATE(YEAR(A1931),1,1)))</f>
        <v/>
      </c>
      <c r="F1931">
        <f>IF(A1931="",0,SUMIF(Rechner!$A$12:$A$21,A1931,Rechner!$B$12:$B$21))</f>
        <v/>
      </c>
      <c r="G1931">
        <f>H1930+E1931</f>
        <v/>
      </c>
      <c r="H1931">
        <f>G1931-MIN(F1931,G1931)</f>
        <v/>
      </c>
      <c r="I1931">
        <f>MIN(F1931-MIN(F1931,G1931),D1931)</f>
        <v/>
      </c>
      <c r="J1931">
        <f>D1931-I1931</f>
        <v/>
      </c>
      <c r="K1931">
        <f>F1931-MIN(F1931,G1931)-I1931</f>
        <v/>
      </c>
    </row>
    <row r="1932">
      <c r="A1932" s="21">
        <f>IF(Rechner!$E$4&lt;&gt;"ok","",IF(Rechner!$E$5+1930&lt;=Rechner!$B$6,Rechner!$E$5+1930,""))</f>
        <v/>
      </c>
      <c r="B1932">
        <f>IF(A1932="","",LOOKUP(A1932,Basiszins!$A$5:$A$18,Basiszins!$B$5:$B$18))</f>
        <v/>
      </c>
      <c r="C1932">
        <f>IF(A1932="","",B1932+Rechner!$E$7)</f>
        <v/>
      </c>
      <c r="D1932">
        <f>J1931</f>
        <v/>
      </c>
      <c r="E1932">
        <f>IF(A1932="",0,D1932*C1932/100/(DATE(YEAR(A1932)+1,1,1)-DATE(YEAR(A1932),1,1)))</f>
        <v/>
      </c>
      <c r="F1932">
        <f>IF(A1932="",0,SUMIF(Rechner!$A$12:$A$21,A1932,Rechner!$B$12:$B$21))</f>
        <v/>
      </c>
      <c r="G1932">
        <f>H1931+E1932</f>
        <v/>
      </c>
      <c r="H1932">
        <f>G1932-MIN(F1932,G1932)</f>
        <v/>
      </c>
      <c r="I1932">
        <f>MIN(F1932-MIN(F1932,G1932),D1932)</f>
        <v/>
      </c>
      <c r="J1932">
        <f>D1932-I1932</f>
        <v/>
      </c>
      <c r="K1932">
        <f>F1932-MIN(F1932,G1932)-I1932</f>
        <v/>
      </c>
    </row>
    <row r="1933">
      <c r="A1933" s="21">
        <f>IF(Rechner!$E$4&lt;&gt;"ok","",IF(Rechner!$E$5+1931&lt;=Rechner!$B$6,Rechner!$E$5+1931,""))</f>
        <v/>
      </c>
      <c r="B1933">
        <f>IF(A1933="","",LOOKUP(A1933,Basiszins!$A$5:$A$18,Basiszins!$B$5:$B$18))</f>
        <v/>
      </c>
      <c r="C1933">
        <f>IF(A1933="","",B1933+Rechner!$E$7)</f>
        <v/>
      </c>
      <c r="D1933">
        <f>J1932</f>
        <v/>
      </c>
      <c r="E1933">
        <f>IF(A1933="",0,D1933*C1933/100/(DATE(YEAR(A1933)+1,1,1)-DATE(YEAR(A1933),1,1)))</f>
        <v/>
      </c>
      <c r="F1933">
        <f>IF(A1933="",0,SUMIF(Rechner!$A$12:$A$21,A1933,Rechner!$B$12:$B$21))</f>
        <v/>
      </c>
      <c r="G1933">
        <f>H1932+E1933</f>
        <v/>
      </c>
      <c r="H1933">
        <f>G1933-MIN(F1933,G1933)</f>
        <v/>
      </c>
      <c r="I1933">
        <f>MIN(F1933-MIN(F1933,G1933),D1933)</f>
        <v/>
      </c>
      <c r="J1933">
        <f>D1933-I1933</f>
        <v/>
      </c>
      <c r="K1933">
        <f>F1933-MIN(F1933,G1933)-I1933</f>
        <v/>
      </c>
    </row>
    <row r="1934">
      <c r="A1934" s="21">
        <f>IF(Rechner!$E$4&lt;&gt;"ok","",IF(Rechner!$E$5+1932&lt;=Rechner!$B$6,Rechner!$E$5+1932,""))</f>
        <v/>
      </c>
      <c r="B1934">
        <f>IF(A1934="","",LOOKUP(A1934,Basiszins!$A$5:$A$18,Basiszins!$B$5:$B$18))</f>
        <v/>
      </c>
      <c r="C1934">
        <f>IF(A1934="","",B1934+Rechner!$E$7)</f>
        <v/>
      </c>
      <c r="D1934">
        <f>J1933</f>
        <v/>
      </c>
      <c r="E1934">
        <f>IF(A1934="",0,D1934*C1934/100/(DATE(YEAR(A1934)+1,1,1)-DATE(YEAR(A1934),1,1)))</f>
        <v/>
      </c>
      <c r="F1934">
        <f>IF(A1934="",0,SUMIF(Rechner!$A$12:$A$21,A1934,Rechner!$B$12:$B$21))</f>
        <v/>
      </c>
      <c r="G1934">
        <f>H1933+E1934</f>
        <v/>
      </c>
      <c r="H1934">
        <f>G1934-MIN(F1934,G1934)</f>
        <v/>
      </c>
      <c r="I1934">
        <f>MIN(F1934-MIN(F1934,G1934),D1934)</f>
        <v/>
      </c>
      <c r="J1934">
        <f>D1934-I1934</f>
        <v/>
      </c>
      <c r="K1934">
        <f>F1934-MIN(F1934,G1934)-I1934</f>
        <v/>
      </c>
    </row>
    <row r="1935">
      <c r="A1935" s="21">
        <f>IF(Rechner!$E$4&lt;&gt;"ok","",IF(Rechner!$E$5+1933&lt;=Rechner!$B$6,Rechner!$E$5+1933,""))</f>
        <v/>
      </c>
      <c r="B1935">
        <f>IF(A1935="","",LOOKUP(A1935,Basiszins!$A$5:$A$18,Basiszins!$B$5:$B$18))</f>
        <v/>
      </c>
      <c r="C1935">
        <f>IF(A1935="","",B1935+Rechner!$E$7)</f>
        <v/>
      </c>
      <c r="D1935">
        <f>J1934</f>
        <v/>
      </c>
      <c r="E1935">
        <f>IF(A1935="",0,D1935*C1935/100/(DATE(YEAR(A1935)+1,1,1)-DATE(YEAR(A1935),1,1)))</f>
        <v/>
      </c>
      <c r="F1935">
        <f>IF(A1935="",0,SUMIF(Rechner!$A$12:$A$21,A1935,Rechner!$B$12:$B$21))</f>
        <v/>
      </c>
      <c r="G1935">
        <f>H1934+E1935</f>
        <v/>
      </c>
      <c r="H1935">
        <f>G1935-MIN(F1935,G1935)</f>
        <v/>
      </c>
      <c r="I1935">
        <f>MIN(F1935-MIN(F1935,G1935),D1935)</f>
        <v/>
      </c>
      <c r="J1935">
        <f>D1935-I1935</f>
        <v/>
      </c>
      <c r="K1935">
        <f>F1935-MIN(F1935,G1935)-I1935</f>
        <v/>
      </c>
    </row>
    <row r="1936">
      <c r="A1936" s="21">
        <f>IF(Rechner!$E$4&lt;&gt;"ok","",IF(Rechner!$E$5+1934&lt;=Rechner!$B$6,Rechner!$E$5+1934,""))</f>
        <v/>
      </c>
      <c r="B1936">
        <f>IF(A1936="","",LOOKUP(A1936,Basiszins!$A$5:$A$18,Basiszins!$B$5:$B$18))</f>
        <v/>
      </c>
      <c r="C1936">
        <f>IF(A1936="","",B1936+Rechner!$E$7)</f>
        <v/>
      </c>
      <c r="D1936">
        <f>J1935</f>
        <v/>
      </c>
      <c r="E1936">
        <f>IF(A1936="",0,D1936*C1936/100/(DATE(YEAR(A1936)+1,1,1)-DATE(YEAR(A1936),1,1)))</f>
        <v/>
      </c>
      <c r="F1936">
        <f>IF(A1936="",0,SUMIF(Rechner!$A$12:$A$21,A1936,Rechner!$B$12:$B$21))</f>
        <v/>
      </c>
      <c r="G1936">
        <f>H1935+E1936</f>
        <v/>
      </c>
      <c r="H1936">
        <f>G1936-MIN(F1936,G1936)</f>
        <v/>
      </c>
      <c r="I1936">
        <f>MIN(F1936-MIN(F1936,G1936),D1936)</f>
        <v/>
      </c>
      <c r="J1936">
        <f>D1936-I1936</f>
        <v/>
      </c>
      <c r="K1936">
        <f>F1936-MIN(F1936,G1936)-I1936</f>
        <v/>
      </c>
    </row>
    <row r="1937">
      <c r="A1937" s="21">
        <f>IF(Rechner!$E$4&lt;&gt;"ok","",IF(Rechner!$E$5+1935&lt;=Rechner!$B$6,Rechner!$E$5+1935,""))</f>
        <v/>
      </c>
      <c r="B1937">
        <f>IF(A1937="","",LOOKUP(A1937,Basiszins!$A$5:$A$18,Basiszins!$B$5:$B$18))</f>
        <v/>
      </c>
      <c r="C1937">
        <f>IF(A1937="","",B1937+Rechner!$E$7)</f>
        <v/>
      </c>
      <c r="D1937">
        <f>J1936</f>
        <v/>
      </c>
      <c r="E1937">
        <f>IF(A1937="",0,D1937*C1937/100/(DATE(YEAR(A1937)+1,1,1)-DATE(YEAR(A1937),1,1)))</f>
        <v/>
      </c>
      <c r="F1937">
        <f>IF(A1937="",0,SUMIF(Rechner!$A$12:$A$21,A1937,Rechner!$B$12:$B$21))</f>
        <v/>
      </c>
      <c r="G1937">
        <f>H1936+E1937</f>
        <v/>
      </c>
      <c r="H1937">
        <f>G1937-MIN(F1937,G1937)</f>
        <v/>
      </c>
      <c r="I1937">
        <f>MIN(F1937-MIN(F1937,G1937),D1937)</f>
        <v/>
      </c>
      <c r="J1937">
        <f>D1937-I1937</f>
        <v/>
      </c>
      <c r="K1937">
        <f>F1937-MIN(F1937,G1937)-I1937</f>
        <v/>
      </c>
    </row>
    <row r="1938">
      <c r="A1938" s="21">
        <f>IF(Rechner!$E$4&lt;&gt;"ok","",IF(Rechner!$E$5+1936&lt;=Rechner!$B$6,Rechner!$E$5+1936,""))</f>
        <v/>
      </c>
      <c r="B1938">
        <f>IF(A1938="","",LOOKUP(A1938,Basiszins!$A$5:$A$18,Basiszins!$B$5:$B$18))</f>
        <v/>
      </c>
      <c r="C1938">
        <f>IF(A1938="","",B1938+Rechner!$E$7)</f>
        <v/>
      </c>
      <c r="D1938">
        <f>J1937</f>
        <v/>
      </c>
      <c r="E1938">
        <f>IF(A1938="",0,D1938*C1938/100/(DATE(YEAR(A1938)+1,1,1)-DATE(YEAR(A1938),1,1)))</f>
        <v/>
      </c>
      <c r="F1938">
        <f>IF(A1938="",0,SUMIF(Rechner!$A$12:$A$21,A1938,Rechner!$B$12:$B$21))</f>
        <v/>
      </c>
      <c r="G1938">
        <f>H1937+E1938</f>
        <v/>
      </c>
      <c r="H1938">
        <f>G1938-MIN(F1938,G1938)</f>
        <v/>
      </c>
      <c r="I1938">
        <f>MIN(F1938-MIN(F1938,G1938),D1938)</f>
        <v/>
      </c>
      <c r="J1938">
        <f>D1938-I1938</f>
        <v/>
      </c>
      <c r="K1938">
        <f>F1938-MIN(F1938,G1938)-I1938</f>
        <v/>
      </c>
    </row>
    <row r="1939">
      <c r="A1939" s="21">
        <f>IF(Rechner!$E$4&lt;&gt;"ok","",IF(Rechner!$E$5+1937&lt;=Rechner!$B$6,Rechner!$E$5+1937,""))</f>
        <v/>
      </c>
      <c r="B1939">
        <f>IF(A1939="","",LOOKUP(A1939,Basiszins!$A$5:$A$18,Basiszins!$B$5:$B$18))</f>
        <v/>
      </c>
      <c r="C1939">
        <f>IF(A1939="","",B1939+Rechner!$E$7)</f>
        <v/>
      </c>
      <c r="D1939">
        <f>J1938</f>
        <v/>
      </c>
      <c r="E1939">
        <f>IF(A1939="",0,D1939*C1939/100/(DATE(YEAR(A1939)+1,1,1)-DATE(YEAR(A1939),1,1)))</f>
        <v/>
      </c>
      <c r="F1939">
        <f>IF(A1939="",0,SUMIF(Rechner!$A$12:$A$21,A1939,Rechner!$B$12:$B$21))</f>
        <v/>
      </c>
      <c r="G1939">
        <f>H1938+E1939</f>
        <v/>
      </c>
      <c r="H1939">
        <f>G1939-MIN(F1939,G1939)</f>
        <v/>
      </c>
      <c r="I1939">
        <f>MIN(F1939-MIN(F1939,G1939),D1939)</f>
        <v/>
      </c>
      <c r="J1939">
        <f>D1939-I1939</f>
        <v/>
      </c>
      <c r="K1939">
        <f>F1939-MIN(F1939,G1939)-I1939</f>
        <v/>
      </c>
    </row>
    <row r="1940">
      <c r="A1940" s="21">
        <f>IF(Rechner!$E$4&lt;&gt;"ok","",IF(Rechner!$E$5+1938&lt;=Rechner!$B$6,Rechner!$E$5+1938,""))</f>
        <v/>
      </c>
      <c r="B1940">
        <f>IF(A1940="","",LOOKUP(A1940,Basiszins!$A$5:$A$18,Basiszins!$B$5:$B$18))</f>
        <v/>
      </c>
      <c r="C1940">
        <f>IF(A1940="","",B1940+Rechner!$E$7)</f>
        <v/>
      </c>
      <c r="D1940">
        <f>J1939</f>
        <v/>
      </c>
      <c r="E1940">
        <f>IF(A1940="",0,D1940*C1940/100/(DATE(YEAR(A1940)+1,1,1)-DATE(YEAR(A1940),1,1)))</f>
        <v/>
      </c>
      <c r="F1940">
        <f>IF(A1940="",0,SUMIF(Rechner!$A$12:$A$21,A1940,Rechner!$B$12:$B$21))</f>
        <v/>
      </c>
      <c r="G1940">
        <f>H1939+E1940</f>
        <v/>
      </c>
      <c r="H1940">
        <f>G1940-MIN(F1940,G1940)</f>
        <v/>
      </c>
      <c r="I1940">
        <f>MIN(F1940-MIN(F1940,G1940),D1940)</f>
        <v/>
      </c>
      <c r="J1940">
        <f>D1940-I1940</f>
        <v/>
      </c>
      <c r="K1940">
        <f>F1940-MIN(F1940,G1940)-I1940</f>
        <v/>
      </c>
    </row>
    <row r="1941">
      <c r="A1941" s="21">
        <f>IF(Rechner!$E$4&lt;&gt;"ok","",IF(Rechner!$E$5+1939&lt;=Rechner!$B$6,Rechner!$E$5+1939,""))</f>
        <v/>
      </c>
      <c r="B1941">
        <f>IF(A1941="","",LOOKUP(A1941,Basiszins!$A$5:$A$18,Basiszins!$B$5:$B$18))</f>
        <v/>
      </c>
      <c r="C1941">
        <f>IF(A1941="","",B1941+Rechner!$E$7)</f>
        <v/>
      </c>
      <c r="D1941">
        <f>J1940</f>
        <v/>
      </c>
      <c r="E1941">
        <f>IF(A1941="",0,D1941*C1941/100/(DATE(YEAR(A1941)+1,1,1)-DATE(YEAR(A1941),1,1)))</f>
        <v/>
      </c>
      <c r="F1941">
        <f>IF(A1941="",0,SUMIF(Rechner!$A$12:$A$21,A1941,Rechner!$B$12:$B$21))</f>
        <v/>
      </c>
      <c r="G1941">
        <f>H1940+E1941</f>
        <v/>
      </c>
      <c r="H1941">
        <f>G1941-MIN(F1941,G1941)</f>
        <v/>
      </c>
      <c r="I1941">
        <f>MIN(F1941-MIN(F1941,G1941),D1941)</f>
        <v/>
      </c>
      <c r="J1941">
        <f>D1941-I1941</f>
        <v/>
      </c>
      <c r="K1941">
        <f>F1941-MIN(F1941,G1941)-I1941</f>
        <v/>
      </c>
    </row>
    <row r="1942">
      <c r="A1942" s="21">
        <f>IF(Rechner!$E$4&lt;&gt;"ok","",IF(Rechner!$E$5+1940&lt;=Rechner!$B$6,Rechner!$E$5+1940,""))</f>
        <v/>
      </c>
      <c r="B1942">
        <f>IF(A1942="","",LOOKUP(A1942,Basiszins!$A$5:$A$18,Basiszins!$B$5:$B$18))</f>
        <v/>
      </c>
      <c r="C1942">
        <f>IF(A1942="","",B1942+Rechner!$E$7)</f>
        <v/>
      </c>
      <c r="D1942">
        <f>J1941</f>
        <v/>
      </c>
      <c r="E1942">
        <f>IF(A1942="",0,D1942*C1942/100/(DATE(YEAR(A1942)+1,1,1)-DATE(YEAR(A1942),1,1)))</f>
        <v/>
      </c>
      <c r="F1942">
        <f>IF(A1942="",0,SUMIF(Rechner!$A$12:$A$21,A1942,Rechner!$B$12:$B$21))</f>
        <v/>
      </c>
      <c r="G1942">
        <f>H1941+E1942</f>
        <v/>
      </c>
      <c r="H1942">
        <f>G1942-MIN(F1942,G1942)</f>
        <v/>
      </c>
      <c r="I1942">
        <f>MIN(F1942-MIN(F1942,G1942),D1942)</f>
        <v/>
      </c>
      <c r="J1942">
        <f>D1942-I1942</f>
        <v/>
      </c>
      <c r="K1942">
        <f>F1942-MIN(F1942,G1942)-I1942</f>
        <v/>
      </c>
    </row>
    <row r="1943">
      <c r="A1943" s="21">
        <f>IF(Rechner!$E$4&lt;&gt;"ok","",IF(Rechner!$E$5+1941&lt;=Rechner!$B$6,Rechner!$E$5+1941,""))</f>
        <v/>
      </c>
      <c r="B1943">
        <f>IF(A1943="","",LOOKUP(A1943,Basiszins!$A$5:$A$18,Basiszins!$B$5:$B$18))</f>
        <v/>
      </c>
      <c r="C1943">
        <f>IF(A1943="","",B1943+Rechner!$E$7)</f>
        <v/>
      </c>
      <c r="D1943">
        <f>J1942</f>
        <v/>
      </c>
      <c r="E1943">
        <f>IF(A1943="",0,D1943*C1943/100/(DATE(YEAR(A1943)+1,1,1)-DATE(YEAR(A1943),1,1)))</f>
        <v/>
      </c>
      <c r="F1943">
        <f>IF(A1943="",0,SUMIF(Rechner!$A$12:$A$21,A1943,Rechner!$B$12:$B$21))</f>
        <v/>
      </c>
      <c r="G1943">
        <f>H1942+E1943</f>
        <v/>
      </c>
      <c r="H1943">
        <f>G1943-MIN(F1943,G1943)</f>
        <v/>
      </c>
      <c r="I1943">
        <f>MIN(F1943-MIN(F1943,G1943),D1943)</f>
        <v/>
      </c>
      <c r="J1943">
        <f>D1943-I1943</f>
        <v/>
      </c>
      <c r="K1943">
        <f>F1943-MIN(F1943,G1943)-I1943</f>
        <v/>
      </c>
    </row>
    <row r="1944">
      <c r="A1944" s="21">
        <f>IF(Rechner!$E$4&lt;&gt;"ok","",IF(Rechner!$E$5+1942&lt;=Rechner!$B$6,Rechner!$E$5+1942,""))</f>
        <v/>
      </c>
      <c r="B1944">
        <f>IF(A1944="","",LOOKUP(A1944,Basiszins!$A$5:$A$18,Basiszins!$B$5:$B$18))</f>
        <v/>
      </c>
      <c r="C1944">
        <f>IF(A1944="","",B1944+Rechner!$E$7)</f>
        <v/>
      </c>
      <c r="D1944">
        <f>J1943</f>
        <v/>
      </c>
      <c r="E1944">
        <f>IF(A1944="",0,D1944*C1944/100/(DATE(YEAR(A1944)+1,1,1)-DATE(YEAR(A1944),1,1)))</f>
        <v/>
      </c>
      <c r="F1944">
        <f>IF(A1944="",0,SUMIF(Rechner!$A$12:$A$21,A1944,Rechner!$B$12:$B$21))</f>
        <v/>
      </c>
      <c r="G1944">
        <f>H1943+E1944</f>
        <v/>
      </c>
      <c r="H1944">
        <f>G1944-MIN(F1944,G1944)</f>
        <v/>
      </c>
      <c r="I1944">
        <f>MIN(F1944-MIN(F1944,G1944),D1944)</f>
        <v/>
      </c>
      <c r="J1944">
        <f>D1944-I1944</f>
        <v/>
      </c>
      <c r="K1944">
        <f>F1944-MIN(F1944,G1944)-I1944</f>
        <v/>
      </c>
    </row>
    <row r="1945">
      <c r="A1945" s="21">
        <f>IF(Rechner!$E$4&lt;&gt;"ok","",IF(Rechner!$E$5+1943&lt;=Rechner!$B$6,Rechner!$E$5+1943,""))</f>
        <v/>
      </c>
      <c r="B1945">
        <f>IF(A1945="","",LOOKUP(A1945,Basiszins!$A$5:$A$18,Basiszins!$B$5:$B$18))</f>
        <v/>
      </c>
      <c r="C1945">
        <f>IF(A1945="","",B1945+Rechner!$E$7)</f>
        <v/>
      </c>
      <c r="D1945">
        <f>J1944</f>
        <v/>
      </c>
      <c r="E1945">
        <f>IF(A1945="",0,D1945*C1945/100/(DATE(YEAR(A1945)+1,1,1)-DATE(YEAR(A1945),1,1)))</f>
        <v/>
      </c>
      <c r="F1945">
        <f>IF(A1945="",0,SUMIF(Rechner!$A$12:$A$21,A1945,Rechner!$B$12:$B$21))</f>
        <v/>
      </c>
      <c r="G1945">
        <f>H1944+E1945</f>
        <v/>
      </c>
      <c r="H1945">
        <f>G1945-MIN(F1945,G1945)</f>
        <v/>
      </c>
      <c r="I1945">
        <f>MIN(F1945-MIN(F1945,G1945),D1945)</f>
        <v/>
      </c>
      <c r="J1945">
        <f>D1945-I1945</f>
        <v/>
      </c>
      <c r="K1945">
        <f>F1945-MIN(F1945,G1945)-I1945</f>
        <v/>
      </c>
    </row>
    <row r="1946">
      <c r="A1946" s="21">
        <f>IF(Rechner!$E$4&lt;&gt;"ok","",IF(Rechner!$E$5+1944&lt;=Rechner!$B$6,Rechner!$E$5+1944,""))</f>
        <v/>
      </c>
      <c r="B1946">
        <f>IF(A1946="","",LOOKUP(A1946,Basiszins!$A$5:$A$18,Basiszins!$B$5:$B$18))</f>
        <v/>
      </c>
      <c r="C1946">
        <f>IF(A1946="","",B1946+Rechner!$E$7)</f>
        <v/>
      </c>
      <c r="D1946">
        <f>J1945</f>
        <v/>
      </c>
      <c r="E1946">
        <f>IF(A1946="",0,D1946*C1946/100/(DATE(YEAR(A1946)+1,1,1)-DATE(YEAR(A1946),1,1)))</f>
        <v/>
      </c>
      <c r="F1946">
        <f>IF(A1946="",0,SUMIF(Rechner!$A$12:$A$21,A1946,Rechner!$B$12:$B$21))</f>
        <v/>
      </c>
      <c r="G1946">
        <f>H1945+E1946</f>
        <v/>
      </c>
      <c r="H1946">
        <f>G1946-MIN(F1946,G1946)</f>
        <v/>
      </c>
      <c r="I1946">
        <f>MIN(F1946-MIN(F1946,G1946),D1946)</f>
        <v/>
      </c>
      <c r="J1946">
        <f>D1946-I1946</f>
        <v/>
      </c>
      <c r="K1946">
        <f>F1946-MIN(F1946,G1946)-I1946</f>
        <v/>
      </c>
    </row>
    <row r="1947">
      <c r="A1947" s="21">
        <f>IF(Rechner!$E$4&lt;&gt;"ok","",IF(Rechner!$E$5+1945&lt;=Rechner!$B$6,Rechner!$E$5+1945,""))</f>
        <v/>
      </c>
      <c r="B1947">
        <f>IF(A1947="","",LOOKUP(A1947,Basiszins!$A$5:$A$18,Basiszins!$B$5:$B$18))</f>
        <v/>
      </c>
      <c r="C1947">
        <f>IF(A1947="","",B1947+Rechner!$E$7)</f>
        <v/>
      </c>
      <c r="D1947">
        <f>J1946</f>
        <v/>
      </c>
      <c r="E1947">
        <f>IF(A1947="",0,D1947*C1947/100/(DATE(YEAR(A1947)+1,1,1)-DATE(YEAR(A1947),1,1)))</f>
        <v/>
      </c>
      <c r="F1947">
        <f>IF(A1947="",0,SUMIF(Rechner!$A$12:$A$21,A1947,Rechner!$B$12:$B$21))</f>
        <v/>
      </c>
      <c r="G1947">
        <f>H1946+E1947</f>
        <v/>
      </c>
      <c r="H1947">
        <f>G1947-MIN(F1947,G1947)</f>
        <v/>
      </c>
      <c r="I1947">
        <f>MIN(F1947-MIN(F1947,G1947),D1947)</f>
        <v/>
      </c>
      <c r="J1947">
        <f>D1947-I1947</f>
        <v/>
      </c>
      <c r="K1947">
        <f>F1947-MIN(F1947,G1947)-I1947</f>
        <v/>
      </c>
    </row>
    <row r="1948">
      <c r="A1948" s="21">
        <f>IF(Rechner!$E$4&lt;&gt;"ok","",IF(Rechner!$E$5+1946&lt;=Rechner!$B$6,Rechner!$E$5+1946,""))</f>
        <v/>
      </c>
      <c r="B1948">
        <f>IF(A1948="","",LOOKUP(A1948,Basiszins!$A$5:$A$18,Basiszins!$B$5:$B$18))</f>
        <v/>
      </c>
      <c r="C1948">
        <f>IF(A1948="","",B1948+Rechner!$E$7)</f>
        <v/>
      </c>
      <c r="D1948">
        <f>J1947</f>
        <v/>
      </c>
      <c r="E1948">
        <f>IF(A1948="",0,D1948*C1948/100/(DATE(YEAR(A1948)+1,1,1)-DATE(YEAR(A1948),1,1)))</f>
        <v/>
      </c>
      <c r="F1948">
        <f>IF(A1948="",0,SUMIF(Rechner!$A$12:$A$21,A1948,Rechner!$B$12:$B$21))</f>
        <v/>
      </c>
      <c r="G1948">
        <f>H1947+E1948</f>
        <v/>
      </c>
      <c r="H1948">
        <f>G1948-MIN(F1948,G1948)</f>
        <v/>
      </c>
      <c r="I1948">
        <f>MIN(F1948-MIN(F1948,G1948),D1948)</f>
        <v/>
      </c>
      <c r="J1948">
        <f>D1948-I1948</f>
        <v/>
      </c>
      <c r="K1948">
        <f>F1948-MIN(F1948,G1948)-I1948</f>
        <v/>
      </c>
    </row>
    <row r="1949">
      <c r="A1949" s="21">
        <f>IF(Rechner!$E$4&lt;&gt;"ok","",IF(Rechner!$E$5+1947&lt;=Rechner!$B$6,Rechner!$E$5+1947,""))</f>
        <v/>
      </c>
      <c r="B1949">
        <f>IF(A1949="","",LOOKUP(A1949,Basiszins!$A$5:$A$18,Basiszins!$B$5:$B$18))</f>
        <v/>
      </c>
      <c r="C1949">
        <f>IF(A1949="","",B1949+Rechner!$E$7)</f>
        <v/>
      </c>
      <c r="D1949">
        <f>J1948</f>
        <v/>
      </c>
      <c r="E1949">
        <f>IF(A1949="",0,D1949*C1949/100/(DATE(YEAR(A1949)+1,1,1)-DATE(YEAR(A1949),1,1)))</f>
        <v/>
      </c>
      <c r="F1949">
        <f>IF(A1949="",0,SUMIF(Rechner!$A$12:$A$21,A1949,Rechner!$B$12:$B$21))</f>
        <v/>
      </c>
      <c r="G1949">
        <f>H1948+E1949</f>
        <v/>
      </c>
      <c r="H1949">
        <f>G1949-MIN(F1949,G1949)</f>
        <v/>
      </c>
      <c r="I1949">
        <f>MIN(F1949-MIN(F1949,G1949),D1949)</f>
        <v/>
      </c>
      <c r="J1949">
        <f>D1949-I1949</f>
        <v/>
      </c>
      <c r="K1949">
        <f>F1949-MIN(F1949,G1949)-I1949</f>
        <v/>
      </c>
    </row>
    <row r="1950">
      <c r="A1950" s="21">
        <f>IF(Rechner!$E$4&lt;&gt;"ok","",IF(Rechner!$E$5+1948&lt;=Rechner!$B$6,Rechner!$E$5+1948,""))</f>
        <v/>
      </c>
      <c r="B1950">
        <f>IF(A1950="","",LOOKUP(A1950,Basiszins!$A$5:$A$18,Basiszins!$B$5:$B$18))</f>
        <v/>
      </c>
      <c r="C1950">
        <f>IF(A1950="","",B1950+Rechner!$E$7)</f>
        <v/>
      </c>
      <c r="D1950">
        <f>J1949</f>
        <v/>
      </c>
      <c r="E1950">
        <f>IF(A1950="",0,D1950*C1950/100/(DATE(YEAR(A1950)+1,1,1)-DATE(YEAR(A1950),1,1)))</f>
        <v/>
      </c>
      <c r="F1950">
        <f>IF(A1950="",0,SUMIF(Rechner!$A$12:$A$21,A1950,Rechner!$B$12:$B$21))</f>
        <v/>
      </c>
      <c r="G1950">
        <f>H1949+E1950</f>
        <v/>
      </c>
      <c r="H1950">
        <f>G1950-MIN(F1950,G1950)</f>
        <v/>
      </c>
      <c r="I1950">
        <f>MIN(F1950-MIN(F1950,G1950),D1950)</f>
        <v/>
      </c>
      <c r="J1950">
        <f>D1950-I1950</f>
        <v/>
      </c>
      <c r="K1950">
        <f>F1950-MIN(F1950,G1950)-I1950</f>
        <v/>
      </c>
    </row>
    <row r="1951">
      <c r="A1951" s="21">
        <f>IF(Rechner!$E$4&lt;&gt;"ok","",IF(Rechner!$E$5+1949&lt;=Rechner!$B$6,Rechner!$E$5+1949,""))</f>
        <v/>
      </c>
      <c r="B1951">
        <f>IF(A1951="","",LOOKUP(A1951,Basiszins!$A$5:$A$18,Basiszins!$B$5:$B$18))</f>
        <v/>
      </c>
      <c r="C1951">
        <f>IF(A1951="","",B1951+Rechner!$E$7)</f>
        <v/>
      </c>
      <c r="D1951">
        <f>J1950</f>
        <v/>
      </c>
      <c r="E1951">
        <f>IF(A1951="",0,D1951*C1951/100/(DATE(YEAR(A1951)+1,1,1)-DATE(YEAR(A1951),1,1)))</f>
        <v/>
      </c>
      <c r="F1951">
        <f>IF(A1951="",0,SUMIF(Rechner!$A$12:$A$21,A1951,Rechner!$B$12:$B$21))</f>
        <v/>
      </c>
      <c r="G1951">
        <f>H1950+E1951</f>
        <v/>
      </c>
      <c r="H1951">
        <f>G1951-MIN(F1951,G1951)</f>
        <v/>
      </c>
      <c r="I1951">
        <f>MIN(F1951-MIN(F1951,G1951),D1951)</f>
        <v/>
      </c>
      <c r="J1951">
        <f>D1951-I1951</f>
        <v/>
      </c>
      <c r="K1951">
        <f>F1951-MIN(F1951,G1951)-I1951</f>
        <v/>
      </c>
    </row>
    <row r="1952">
      <c r="A1952" s="21">
        <f>IF(Rechner!$E$4&lt;&gt;"ok","",IF(Rechner!$E$5+1950&lt;=Rechner!$B$6,Rechner!$E$5+1950,""))</f>
        <v/>
      </c>
      <c r="B1952">
        <f>IF(A1952="","",LOOKUP(A1952,Basiszins!$A$5:$A$18,Basiszins!$B$5:$B$18))</f>
        <v/>
      </c>
      <c r="C1952">
        <f>IF(A1952="","",B1952+Rechner!$E$7)</f>
        <v/>
      </c>
      <c r="D1952">
        <f>J1951</f>
        <v/>
      </c>
      <c r="E1952">
        <f>IF(A1952="",0,D1952*C1952/100/(DATE(YEAR(A1952)+1,1,1)-DATE(YEAR(A1952),1,1)))</f>
        <v/>
      </c>
      <c r="F1952">
        <f>IF(A1952="",0,SUMIF(Rechner!$A$12:$A$21,A1952,Rechner!$B$12:$B$21))</f>
        <v/>
      </c>
      <c r="G1952">
        <f>H1951+E1952</f>
        <v/>
      </c>
      <c r="H1952">
        <f>G1952-MIN(F1952,G1952)</f>
        <v/>
      </c>
      <c r="I1952">
        <f>MIN(F1952-MIN(F1952,G1952),D1952)</f>
        <v/>
      </c>
      <c r="J1952">
        <f>D1952-I1952</f>
        <v/>
      </c>
      <c r="K1952">
        <f>F1952-MIN(F1952,G1952)-I1952</f>
        <v/>
      </c>
    </row>
    <row r="1953">
      <c r="A1953" s="21">
        <f>IF(Rechner!$E$4&lt;&gt;"ok","",IF(Rechner!$E$5+1951&lt;=Rechner!$B$6,Rechner!$E$5+1951,""))</f>
        <v/>
      </c>
      <c r="B1953">
        <f>IF(A1953="","",LOOKUP(A1953,Basiszins!$A$5:$A$18,Basiszins!$B$5:$B$18))</f>
        <v/>
      </c>
      <c r="C1953">
        <f>IF(A1953="","",B1953+Rechner!$E$7)</f>
        <v/>
      </c>
      <c r="D1953">
        <f>J1952</f>
        <v/>
      </c>
      <c r="E1953">
        <f>IF(A1953="",0,D1953*C1953/100/(DATE(YEAR(A1953)+1,1,1)-DATE(YEAR(A1953),1,1)))</f>
        <v/>
      </c>
      <c r="F1953">
        <f>IF(A1953="",0,SUMIF(Rechner!$A$12:$A$21,A1953,Rechner!$B$12:$B$21))</f>
        <v/>
      </c>
      <c r="G1953">
        <f>H1952+E1953</f>
        <v/>
      </c>
      <c r="H1953">
        <f>G1953-MIN(F1953,G1953)</f>
        <v/>
      </c>
      <c r="I1953">
        <f>MIN(F1953-MIN(F1953,G1953),D1953)</f>
        <v/>
      </c>
      <c r="J1953">
        <f>D1953-I1953</f>
        <v/>
      </c>
      <c r="K1953">
        <f>F1953-MIN(F1953,G1953)-I1953</f>
        <v/>
      </c>
    </row>
    <row r="1954">
      <c r="A1954" s="21">
        <f>IF(Rechner!$E$4&lt;&gt;"ok","",IF(Rechner!$E$5+1952&lt;=Rechner!$B$6,Rechner!$E$5+1952,""))</f>
        <v/>
      </c>
      <c r="B1954">
        <f>IF(A1954="","",LOOKUP(A1954,Basiszins!$A$5:$A$18,Basiszins!$B$5:$B$18))</f>
        <v/>
      </c>
      <c r="C1954">
        <f>IF(A1954="","",B1954+Rechner!$E$7)</f>
        <v/>
      </c>
      <c r="D1954">
        <f>J1953</f>
        <v/>
      </c>
      <c r="E1954">
        <f>IF(A1954="",0,D1954*C1954/100/(DATE(YEAR(A1954)+1,1,1)-DATE(YEAR(A1954),1,1)))</f>
        <v/>
      </c>
      <c r="F1954">
        <f>IF(A1954="",0,SUMIF(Rechner!$A$12:$A$21,A1954,Rechner!$B$12:$B$21))</f>
        <v/>
      </c>
      <c r="G1954">
        <f>H1953+E1954</f>
        <v/>
      </c>
      <c r="H1954">
        <f>G1954-MIN(F1954,G1954)</f>
        <v/>
      </c>
      <c r="I1954">
        <f>MIN(F1954-MIN(F1954,G1954),D1954)</f>
        <v/>
      </c>
      <c r="J1954">
        <f>D1954-I1954</f>
        <v/>
      </c>
      <c r="K1954">
        <f>F1954-MIN(F1954,G1954)-I1954</f>
        <v/>
      </c>
    </row>
    <row r="1955">
      <c r="A1955" s="21">
        <f>IF(Rechner!$E$4&lt;&gt;"ok","",IF(Rechner!$E$5+1953&lt;=Rechner!$B$6,Rechner!$E$5+1953,""))</f>
        <v/>
      </c>
      <c r="B1955">
        <f>IF(A1955="","",LOOKUP(A1955,Basiszins!$A$5:$A$18,Basiszins!$B$5:$B$18))</f>
        <v/>
      </c>
      <c r="C1955">
        <f>IF(A1955="","",B1955+Rechner!$E$7)</f>
        <v/>
      </c>
      <c r="D1955">
        <f>J1954</f>
        <v/>
      </c>
      <c r="E1955">
        <f>IF(A1955="",0,D1955*C1955/100/(DATE(YEAR(A1955)+1,1,1)-DATE(YEAR(A1955),1,1)))</f>
        <v/>
      </c>
      <c r="F1955">
        <f>IF(A1955="",0,SUMIF(Rechner!$A$12:$A$21,A1955,Rechner!$B$12:$B$21))</f>
        <v/>
      </c>
      <c r="G1955">
        <f>H1954+E1955</f>
        <v/>
      </c>
      <c r="H1955">
        <f>G1955-MIN(F1955,G1955)</f>
        <v/>
      </c>
      <c r="I1955">
        <f>MIN(F1955-MIN(F1955,G1955),D1955)</f>
        <v/>
      </c>
      <c r="J1955">
        <f>D1955-I1955</f>
        <v/>
      </c>
      <c r="K1955">
        <f>F1955-MIN(F1955,G1955)-I1955</f>
        <v/>
      </c>
    </row>
    <row r="1956">
      <c r="A1956" s="21">
        <f>IF(Rechner!$E$4&lt;&gt;"ok","",IF(Rechner!$E$5+1954&lt;=Rechner!$B$6,Rechner!$E$5+1954,""))</f>
        <v/>
      </c>
      <c r="B1956">
        <f>IF(A1956="","",LOOKUP(A1956,Basiszins!$A$5:$A$18,Basiszins!$B$5:$B$18))</f>
        <v/>
      </c>
      <c r="C1956">
        <f>IF(A1956="","",B1956+Rechner!$E$7)</f>
        <v/>
      </c>
      <c r="D1956">
        <f>J1955</f>
        <v/>
      </c>
      <c r="E1956">
        <f>IF(A1956="",0,D1956*C1956/100/(DATE(YEAR(A1956)+1,1,1)-DATE(YEAR(A1956),1,1)))</f>
        <v/>
      </c>
      <c r="F1956">
        <f>IF(A1956="",0,SUMIF(Rechner!$A$12:$A$21,A1956,Rechner!$B$12:$B$21))</f>
        <v/>
      </c>
      <c r="G1956">
        <f>H1955+E1956</f>
        <v/>
      </c>
      <c r="H1956">
        <f>G1956-MIN(F1956,G1956)</f>
        <v/>
      </c>
      <c r="I1956">
        <f>MIN(F1956-MIN(F1956,G1956),D1956)</f>
        <v/>
      </c>
      <c r="J1956">
        <f>D1956-I1956</f>
        <v/>
      </c>
      <c r="K1956">
        <f>F1956-MIN(F1956,G1956)-I1956</f>
        <v/>
      </c>
    </row>
    <row r="1957">
      <c r="A1957" s="21">
        <f>IF(Rechner!$E$4&lt;&gt;"ok","",IF(Rechner!$E$5+1955&lt;=Rechner!$B$6,Rechner!$E$5+1955,""))</f>
        <v/>
      </c>
      <c r="B1957">
        <f>IF(A1957="","",LOOKUP(A1957,Basiszins!$A$5:$A$18,Basiszins!$B$5:$B$18))</f>
        <v/>
      </c>
      <c r="C1957">
        <f>IF(A1957="","",B1957+Rechner!$E$7)</f>
        <v/>
      </c>
      <c r="D1957">
        <f>J1956</f>
        <v/>
      </c>
      <c r="E1957">
        <f>IF(A1957="",0,D1957*C1957/100/(DATE(YEAR(A1957)+1,1,1)-DATE(YEAR(A1957),1,1)))</f>
        <v/>
      </c>
      <c r="F1957">
        <f>IF(A1957="",0,SUMIF(Rechner!$A$12:$A$21,A1957,Rechner!$B$12:$B$21))</f>
        <v/>
      </c>
      <c r="G1957">
        <f>H1956+E1957</f>
        <v/>
      </c>
      <c r="H1957">
        <f>G1957-MIN(F1957,G1957)</f>
        <v/>
      </c>
      <c r="I1957">
        <f>MIN(F1957-MIN(F1957,G1957),D1957)</f>
        <v/>
      </c>
      <c r="J1957">
        <f>D1957-I1957</f>
        <v/>
      </c>
      <c r="K1957">
        <f>F1957-MIN(F1957,G1957)-I1957</f>
        <v/>
      </c>
    </row>
    <row r="1958">
      <c r="A1958" s="21">
        <f>IF(Rechner!$E$4&lt;&gt;"ok","",IF(Rechner!$E$5+1956&lt;=Rechner!$B$6,Rechner!$E$5+1956,""))</f>
        <v/>
      </c>
      <c r="B1958">
        <f>IF(A1958="","",LOOKUP(A1958,Basiszins!$A$5:$A$18,Basiszins!$B$5:$B$18))</f>
        <v/>
      </c>
      <c r="C1958">
        <f>IF(A1958="","",B1958+Rechner!$E$7)</f>
        <v/>
      </c>
      <c r="D1958">
        <f>J1957</f>
        <v/>
      </c>
      <c r="E1958">
        <f>IF(A1958="",0,D1958*C1958/100/(DATE(YEAR(A1958)+1,1,1)-DATE(YEAR(A1958),1,1)))</f>
        <v/>
      </c>
      <c r="F1958">
        <f>IF(A1958="",0,SUMIF(Rechner!$A$12:$A$21,A1958,Rechner!$B$12:$B$21))</f>
        <v/>
      </c>
      <c r="G1958">
        <f>H1957+E1958</f>
        <v/>
      </c>
      <c r="H1958">
        <f>G1958-MIN(F1958,G1958)</f>
        <v/>
      </c>
      <c r="I1958">
        <f>MIN(F1958-MIN(F1958,G1958),D1958)</f>
        <v/>
      </c>
      <c r="J1958">
        <f>D1958-I1958</f>
        <v/>
      </c>
      <c r="K1958">
        <f>F1958-MIN(F1958,G1958)-I1958</f>
        <v/>
      </c>
    </row>
    <row r="1959">
      <c r="A1959" s="21">
        <f>IF(Rechner!$E$4&lt;&gt;"ok","",IF(Rechner!$E$5+1957&lt;=Rechner!$B$6,Rechner!$E$5+1957,""))</f>
        <v/>
      </c>
      <c r="B1959">
        <f>IF(A1959="","",LOOKUP(A1959,Basiszins!$A$5:$A$18,Basiszins!$B$5:$B$18))</f>
        <v/>
      </c>
      <c r="C1959">
        <f>IF(A1959="","",B1959+Rechner!$E$7)</f>
        <v/>
      </c>
      <c r="D1959">
        <f>J1958</f>
        <v/>
      </c>
      <c r="E1959">
        <f>IF(A1959="",0,D1959*C1959/100/(DATE(YEAR(A1959)+1,1,1)-DATE(YEAR(A1959),1,1)))</f>
        <v/>
      </c>
      <c r="F1959">
        <f>IF(A1959="",0,SUMIF(Rechner!$A$12:$A$21,A1959,Rechner!$B$12:$B$21))</f>
        <v/>
      </c>
      <c r="G1959">
        <f>H1958+E1959</f>
        <v/>
      </c>
      <c r="H1959">
        <f>G1959-MIN(F1959,G1959)</f>
        <v/>
      </c>
      <c r="I1959">
        <f>MIN(F1959-MIN(F1959,G1959),D1959)</f>
        <v/>
      </c>
      <c r="J1959">
        <f>D1959-I1959</f>
        <v/>
      </c>
      <c r="K1959">
        <f>F1959-MIN(F1959,G1959)-I1959</f>
        <v/>
      </c>
    </row>
    <row r="1960">
      <c r="A1960" s="21">
        <f>IF(Rechner!$E$4&lt;&gt;"ok","",IF(Rechner!$E$5+1958&lt;=Rechner!$B$6,Rechner!$E$5+1958,""))</f>
        <v/>
      </c>
      <c r="B1960">
        <f>IF(A1960="","",LOOKUP(A1960,Basiszins!$A$5:$A$18,Basiszins!$B$5:$B$18))</f>
        <v/>
      </c>
      <c r="C1960">
        <f>IF(A1960="","",B1960+Rechner!$E$7)</f>
        <v/>
      </c>
      <c r="D1960">
        <f>J1959</f>
        <v/>
      </c>
      <c r="E1960">
        <f>IF(A1960="",0,D1960*C1960/100/(DATE(YEAR(A1960)+1,1,1)-DATE(YEAR(A1960),1,1)))</f>
        <v/>
      </c>
      <c r="F1960">
        <f>IF(A1960="",0,SUMIF(Rechner!$A$12:$A$21,A1960,Rechner!$B$12:$B$21))</f>
        <v/>
      </c>
      <c r="G1960">
        <f>H1959+E1960</f>
        <v/>
      </c>
      <c r="H1960">
        <f>G1960-MIN(F1960,G1960)</f>
        <v/>
      </c>
      <c r="I1960">
        <f>MIN(F1960-MIN(F1960,G1960),D1960)</f>
        <v/>
      </c>
      <c r="J1960">
        <f>D1960-I1960</f>
        <v/>
      </c>
      <c r="K1960">
        <f>F1960-MIN(F1960,G1960)-I1960</f>
        <v/>
      </c>
    </row>
    <row r="1961">
      <c r="A1961" s="21">
        <f>IF(Rechner!$E$4&lt;&gt;"ok","",IF(Rechner!$E$5+1959&lt;=Rechner!$B$6,Rechner!$E$5+1959,""))</f>
        <v/>
      </c>
      <c r="B1961">
        <f>IF(A1961="","",LOOKUP(A1961,Basiszins!$A$5:$A$18,Basiszins!$B$5:$B$18))</f>
        <v/>
      </c>
      <c r="C1961">
        <f>IF(A1961="","",B1961+Rechner!$E$7)</f>
        <v/>
      </c>
      <c r="D1961">
        <f>J1960</f>
        <v/>
      </c>
      <c r="E1961">
        <f>IF(A1961="",0,D1961*C1961/100/(DATE(YEAR(A1961)+1,1,1)-DATE(YEAR(A1961),1,1)))</f>
        <v/>
      </c>
      <c r="F1961">
        <f>IF(A1961="",0,SUMIF(Rechner!$A$12:$A$21,A1961,Rechner!$B$12:$B$21))</f>
        <v/>
      </c>
      <c r="G1961">
        <f>H1960+E1961</f>
        <v/>
      </c>
      <c r="H1961">
        <f>G1961-MIN(F1961,G1961)</f>
        <v/>
      </c>
      <c r="I1961">
        <f>MIN(F1961-MIN(F1961,G1961),D1961)</f>
        <v/>
      </c>
      <c r="J1961">
        <f>D1961-I1961</f>
        <v/>
      </c>
      <c r="K1961">
        <f>F1961-MIN(F1961,G1961)-I1961</f>
        <v/>
      </c>
    </row>
    <row r="1962">
      <c r="A1962" s="21">
        <f>IF(Rechner!$E$4&lt;&gt;"ok","",IF(Rechner!$E$5+1960&lt;=Rechner!$B$6,Rechner!$E$5+1960,""))</f>
        <v/>
      </c>
      <c r="B1962">
        <f>IF(A1962="","",LOOKUP(A1962,Basiszins!$A$5:$A$18,Basiszins!$B$5:$B$18))</f>
        <v/>
      </c>
      <c r="C1962">
        <f>IF(A1962="","",B1962+Rechner!$E$7)</f>
        <v/>
      </c>
      <c r="D1962">
        <f>J1961</f>
        <v/>
      </c>
      <c r="E1962">
        <f>IF(A1962="",0,D1962*C1962/100/(DATE(YEAR(A1962)+1,1,1)-DATE(YEAR(A1962),1,1)))</f>
        <v/>
      </c>
      <c r="F1962">
        <f>IF(A1962="",0,SUMIF(Rechner!$A$12:$A$21,A1962,Rechner!$B$12:$B$21))</f>
        <v/>
      </c>
      <c r="G1962">
        <f>H1961+E1962</f>
        <v/>
      </c>
      <c r="H1962">
        <f>G1962-MIN(F1962,G1962)</f>
        <v/>
      </c>
      <c r="I1962">
        <f>MIN(F1962-MIN(F1962,G1962),D1962)</f>
        <v/>
      </c>
      <c r="J1962">
        <f>D1962-I1962</f>
        <v/>
      </c>
      <c r="K1962">
        <f>F1962-MIN(F1962,G1962)-I1962</f>
        <v/>
      </c>
    </row>
    <row r="1963">
      <c r="A1963" s="21">
        <f>IF(Rechner!$E$4&lt;&gt;"ok","",IF(Rechner!$E$5+1961&lt;=Rechner!$B$6,Rechner!$E$5+1961,""))</f>
        <v/>
      </c>
      <c r="B1963">
        <f>IF(A1963="","",LOOKUP(A1963,Basiszins!$A$5:$A$18,Basiszins!$B$5:$B$18))</f>
        <v/>
      </c>
      <c r="C1963">
        <f>IF(A1963="","",B1963+Rechner!$E$7)</f>
        <v/>
      </c>
      <c r="D1963">
        <f>J1962</f>
        <v/>
      </c>
      <c r="E1963">
        <f>IF(A1963="",0,D1963*C1963/100/(DATE(YEAR(A1963)+1,1,1)-DATE(YEAR(A1963),1,1)))</f>
        <v/>
      </c>
      <c r="F1963">
        <f>IF(A1963="",0,SUMIF(Rechner!$A$12:$A$21,A1963,Rechner!$B$12:$B$21))</f>
        <v/>
      </c>
      <c r="G1963">
        <f>H1962+E1963</f>
        <v/>
      </c>
      <c r="H1963">
        <f>G1963-MIN(F1963,G1963)</f>
        <v/>
      </c>
      <c r="I1963">
        <f>MIN(F1963-MIN(F1963,G1963),D1963)</f>
        <v/>
      </c>
      <c r="J1963">
        <f>D1963-I1963</f>
        <v/>
      </c>
      <c r="K1963">
        <f>F1963-MIN(F1963,G1963)-I1963</f>
        <v/>
      </c>
    </row>
    <row r="1964">
      <c r="A1964" s="21">
        <f>IF(Rechner!$E$4&lt;&gt;"ok","",IF(Rechner!$E$5+1962&lt;=Rechner!$B$6,Rechner!$E$5+1962,""))</f>
        <v/>
      </c>
      <c r="B1964">
        <f>IF(A1964="","",LOOKUP(A1964,Basiszins!$A$5:$A$18,Basiszins!$B$5:$B$18))</f>
        <v/>
      </c>
      <c r="C1964">
        <f>IF(A1964="","",B1964+Rechner!$E$7)</f>
        <v/>
      </c>
      <c r="D1964">
        <f>J1963</f>
        <v/>
      </c>
      <c r="E1964">
        <f>IF(A1964="",0,D1964*C1964/100/(DATE(YEAR(A1964)+1,1,1)-DATE(YEAR(A1964),1,1)))</f>
        <v/>
      </c>
      <c r="F1964">
        <f>IF(A1964="",0,SUMIF(Rechner!$A$12:$A$21,A1964,Rechner!$B$12:$B$21))</f>
        <v/>
      </c>
      <c r="G1964">
        <f>H1963+E1964</f>
        <v/>
      </c>
      <c r="H1964">
        <f>G1964-MIN(F1964,G1964)</f>
        <v/>
      </c>
      <c r="I1964">
        <f>MIN(F1964-MIN(F1964,G1964),D1964)</f>
        <v/>
      </c>
      <c r="J1964">
        <f>D1964-I1964</f>
        <v/>
      </c>
      <c r="K1964">
        <f>F1964-MIN(F1964,G1964)-I1964</f>
        <v/>
      </c>
    </row>
    <row r="1965">
      <c r="A1965" s="21">
        <f>IF(Rechner!$E$4&lt;&gt;"ok","",IF(Rechner!$E$5+1963&lt;=Rechner!$B$6,Rechner!$E$5+1963,""))</f>
        <v/>
      </c>
      <c r="B1965">
        <f>IF(A1965="","",LOOKUP(A1965,Basiszins!$A$5:$A$18,Basiszins!$B$5:$B$18))</f>
        <v/>
      </c>
      <c r="C1965">
        <f>IF(A1965="","",B1965+Rechner!$E$7)</f>
        <v/>
      </c>
      <c r="D1965">
        <f>J1964</f>
        <v/>
      </c>
      <c r="E1965">
        <f>IF(A1965="",0,D1965*C1965/100/(DATE(YEAR(A1965)+1,1,1)-DATE(YEAR(A1965),1,1)))</f>
        <v/>
      </c>
      <c r="F1965">
        <f>IF(A1965="",0,SUMIF(Rechner!$A$12:$A$21,A1965,Rechner!$B$12:$B$21))</f>
        <v/>
      </c>
      <c r="G1965">
        <f>H1964+E1965</f>
        <v/>
      </c>
      <c r="H1965">
        <f>G1965-MIN(F1965,G1965)</f>
        <v/>
      </c>
      <c r="I1965">
        <f>MIN(F1965-MIN(F1965,G1965),D1965)</f>
        <v/>
      </c>
      <c r="J1965">
        <f>D1965-I1965</f>
        <v/>
      </c>
      <c r="K1965">
        <f>F1965-MIN(F1965,G1965)-I1965</f>
        <v/>
      </c>
    </row>
    <row r="1966">
      <c r="A1966" s="21">
        <f>IF(Rechner!$E$4&lt;&gt;"ok","",IF(Rechner!$E$5+1964&lt;=Rechner!$B$6,Rechner!$E$5+1964,""))</f>
        <v/>
      </c>
      <c r="B1966">
        <f>IF(A1966="","",LOOKUP(A1966,Basiszins!$A$5:$A$18,Basiszins!$B$5:$B$18))</f>
        <v/>
      </c>
      <c r="C1966">
        <f>IF(A1966="","",B1966+Rechner!$E$7)</f>
        <v/>
      </c>
      <c r="D1966">
        <f>J1965</f>
        <v/>
      </c>
      <c r="E1966">
        <f>IF(A1966="",0,D1966*C1966/100/(DATE(YEAR(A1966)+1,1,1)-DATE(YEAR(A1966),1,1)))</f>
        <v/>
      </c>
      <c r="F1966">
        <f>IF(A1966="",0,SUMIF(Rechner!$A$12:$A$21,A1966,Rechner!$B$12:$B$21))</f>
        <v/>
      </c>
      <c r="G1966">
        <f>H1965+E1966</f>
        <v/>
      </c>
      <c r="H1966">
        <f>G1966-MIN(F1966,G1966)</f>
        <v/>
      </c>
      <c r="I1966">
        <f>MIN(F1966-MIN(F1966,G1966),D1966)</f>
        <v/>
      </c>
      <c r="J1966">
        <f>D1966-I1966</f>
        <v/>
      </c>
      <c r="K1966">
        <f>F1966-MIN(F1966,G1966)-I1966</f>
        <v/>
      </c>
    </row>
    <row r="1967">
      <c r="A1967" s="21">
        <f>IF(Rechner!$E$4&lt;&gt;"ok","",IF(Rechner!$E$5+1965&lt;=Rechner!$B$6,Rechner!$E$5+1965,""))</f>
        <v/>
      </c>
      <c r="B1967">
        <f>IF(A1967="","",LOOKUP(A1967,Basiszins!$A$5:$A$18,Basiszins!$B$5:$B$18))</f>
        <v/>
      </c>
      <c r="C1967">
        <f>IF(A1967="","",B1967+Rechner!$E$7)</f>
        <v/>
      </c>
      <c r="D1967">
        <f>J1966</f>
        <v/>
      </c>
      <c r="E1967">
        <f>IF(A1967="",0,D1967*C1967/100/(DATE(YEAR(A1967)+1,1,1)-DATE(YEAR(A1967),1,1)))</f>
        <v/>
      </c>
      <c r="F1967">
        <f>IF(A1967="",0,SUMIF(Rechner!$A$12:$A$21,A1967,Rechner!$B$12:$B$21))</f>
        <v/>
      </c>
      <c r="G1967">
        <f>H1966+E1967</f>
        <v/>
      </c>
      <c r="H1967">
        <f>G1967-MIN(F1967,G1967)</f>
        <v/>
      </c>
      <c r="I1967">
        <f>MIN(F1967-MIN(F1967,G1967),D1967)</f>
        <v/>
      </c>
      <c r="J1967">
        <f>D1967-I1967</f>
        <v/>
      </c>
      <c r="K1967">
        <f>F1967-MIN(F1967,G1967)-I1967</f>
        <v/>
      </c>
    </row>
    <row r="1968">
      <c r="A1968" s="21">
        <f>IF(Rechner!$E$4&lt;&gt;"ok","",IF(Rechner!$E$5+1966&lt;=Rechner!$B$6,Rechner!$E$5+1966,""))</f>
        <v/>
      </c>
      <c r="B1968">
        <f>IF(A1968="","",LOOKUP(A1968,Basiszins!$A$5:$A$18,Basiszins!$B$5:$B$18))</f>
        <v/>
      </c>
      <c r="C1968">
        <f>IF(A1968="","",B1968+Rechner!$E$7)</f>
        <v/>
      </c>
      <c r="D1968">
        <f>J1967</f>
        <v/>
      </c>
      <c r="E1968">
        <f>IF(A1968="",0,D1968*C1968/100/(DATE(YEAR(A1968)+1,1,1)-DATE(YEAR(A1968),1,1)))</f>
        <v/>
      </c>
      <c r="F1968">
        <f>IF(A1968="",0,SUMIF(Rechner!$A$12:$A$21,A1968,Rechner!$B$12:$B$21))</f>
        <v/>
      </c>
      <c r="G1968">
        <f>H1967+E1968</f>
        <v/>
      </c>
      <c r="H1968">
        <f>G1968-MIN(F1968,G1968)</f>
        <v/>
      </c>
      <c r="I1968">
        <f>MIN(F1968-MIN(F1968,G1968),D1968)</f>
        <v/>
      </c>
      <c r="J1968">
        <f>D1968-I1968</f>
        <v/>
      </c>
      <c r="K1968">
        <f>F1968-MIN(F1968,G1968)-I1968</f>
        <v/>
      </c>
    </row>
    <row r="1969">
      <c r="A1969" s="21">
        <f>IF(Rechner!$E$4&lt;&gt;"ok","",IF(Rechner!$E$5+1967&lt;=Rechner!$B$6,Rechner!$E$5+1967,""))</f>
        <v/>
      </c>
      <c r="B1969">
        <f>IF(A1969="","",LOOKUP(A1969,Basiszins!$A$5:$A$18,Basiszins!$B$5:$B$18))</f>
        <v/>
      </c>
      <c r="C1969">
        <f>IF(A1969="","",B1969+Rechner!$E$7)</f>
        <v/>
      </c>
      <c r="D1969">
        <f>J1968</f>
        <v/>
      </c>
      <c r="E1969">
        <f>IF(A1969="",0,D1969*C1969/100/(DATE(YEAR(A1969)+1,1,1)-DATE(YEAR(A1969),1,1)))</f>
        <v/>
      </c>
      <c r="F1969">
        <f>IF(A1969="",0,SUMIF(Rechner!$A$12:$A$21,A1969,Rechner!$B$12:$B$21))</f>
        <v/>
      </c>
      <c r="G1969">
        <f>H1968+E1969</f>
        <v/>
      </c>
      <c r="H1969">
        <f>G1969-MIN(F1969,G1969)</f>
        <v/>
      </c>
      <c r="I1969">
        <f>MIN(F1969-MIN(F1969,G1969),D1969)</f>
        <v/>
      </c>
      <c r="J1969">
        <f>D1969-I1969</f>
        <v/>
      </c>
      <c r="K1969">
        <f>F1969-MIN(F1969,G1969)-I1969</f>
        <v/>
      </c>
    </row>
    <row r="1970">
      <c r="A1970" s="21">
        <f>IF(Rechner!$E$4&lt;&gt;"ok","",IF(Rechner!$E$5+1968&lt;=Rechner!$B$6,Rechner!$E$5+1968,""))</f>
        <v/>
      </c>
      <c r="B1970">
        <f>IF(A1970="","",LOOKUP(A1970,Basiszins!$A$5:$A$18,Basiszins!$B$5:$B$18))</f>
        <v/>
      </c>
      <c r="C1970">
        <f>IF(A1970="","",B1970+Rechner!$E$7)</f>
        <v/>
      </c>
      <c r="D1970">
        <f>J1969</f>
        <v/>
      </c>
      <c r="E1970">
        <f>IF(A1970="",0,D1970*C1970/100/(DATE(YEAR(A1970)+1,1,1)-DATE(YEAR(A1970),1,1)))</f>
        <v/>
      </c>
      <c r="F1970">
        <f>IF(A1970="",0,SUMIF(Rechner!$A$12:$A$21,A1970,Rechner!$B$12:$B$21))</f>
        <v/>
      </c>
      <c r="G1970">
        <f>H1969+E1970</f>
        <v/>
      </c>
      <c r="H1970">
        <f>G1970-MIN(F1970,G1970)</f>
        <v/>
      </c>
      <c r="I1970">
        <f>MIN(F1970-MIN(F1970,G1970),D1970)</f>
        <v/>
      </c>
      <c r="J1970">
        <f>D1970-I1970</f>
        <v/>
      </c>
      <c r="K1970">
        <f>F1970-MIN(F1970,G1970)-I1970</f>
        <v/>
      </c>
    </row>
    <row r="1971">
      <c r="A1971" s="21">
        <f>IF(Rechner!$E$4&lt;&gt;"ok","",IF(Rechner!$E$5+1969&lt;=Rechner!$B$6,Rechner!$E$5+1969,""))</f>
        <v/>
      </c>
      <c r="B1971">
        <f>IF(A1971="","",LOOKUP(A1971,Basiszins!$A$5:$A$18,Basiszins!$B$5:$B$18))</f>
        <v/>
      </c>
      <c r="C1971">
        <f>IF(A1971="","",B1971+Rechner!$E$7)</f>
        <v/>
      </c>
      <c r="D1971">
        <f>J1970</f>
        <v/>
      </c>
      <c r="E1971">
        <f>IF(A1971="",0,D1971*C1971/100/(DATE(YEAR(A1971)+1,1,1)-DATE(YEAR(A1971),1,1)))</f>
        <v/>
      </c>
      <c r="F1971">
        <f>IF(A1971="",0,SUMIF(Rechner!$A$12:$A$21,A1971,Rechner!$B$12:$B$21))</f>
        <v/>
      </c>
      <c r="G1971">
        <f>H1970+E1971</f>
        <v/>
      </c>
      <c r="H1971">
        <f>G1971-MIN(F1971,G1971)</f>
        <v/>
      </c>
      <c r="I1971">
        <f>MIN(F1971-MIN(F1971,G1971),D1971)</f>
        <v/>
      </c>
      <c r="J1971">
        <f>D1971-I1971</f>
        <v/>
      </c>
      <c r="K1971">
        <f>F1971-MIN(F1971,G1971)-I1971</f>
        <v/>
      </c>
    </row>
    <row r="1972">
      <c r="A1972" s="21">
        <f>IF(Rechner!$E$4&lt;&gt;"ok","",IF(Rechner!$E$5+1970&lt;=Rechner!$B$6,Rechner!$E$5+1970,""))</f>
        <v/>
      </c>
      <c r="B1972">
        <f>IF(A1972="","",LOOKUP(A1972,Basiszins!$A$5:$A$18,Basiszins!$B$5:$B$18))</f>
        <v/>
      </c>
      <c r="C1972">
        <f>IF(A1972="","",B1972+Rechner!$E$7)</f>
        <v/>
      </c>
      <c r="D1972">
        <f>J1971</f>
        <v/>
      </c>
      <c r="E1972">
        <f>IF(A1972="",0,D1972*C1972/100/(DATE(YEAR(A1972)+1,1,1)-DATE(YEAR(A1972),1,1)))</f>
        <v/>
      </c>
      <c r="F1972">
        <f>IF(A1972="",0,SUMIF(Rechner!$A$12:$A$21,A1972,Rechner!$B$12:$B$21))</f>
        <v/>
      </c>
      <c r="G1972">
        <f>H1971+E1972</f>
        <v/>
      </c>
      <c r="H1972">
        <f>G1972-MIN(F1972,G1972)</f>
        <v/>
      </c>
      <c r="I1972">
        <f>MIN(F1972-MIN(F1972,G1972),D1972)</f>
        <v/>
      </c>
      <c r="J1972">
        <f>D1972-I1972</f>
        <v/>
      </c>
      <c r="K1972">
        <f>F1972-MIN(F1972,G1972)-I1972</f>
        <v/>
      </c>
    </row>
    <row r="1973">
      <c r="A1973" s="21">
        <f>IF(Rechner!$E$4&lt;&gt;"ok","",IF(Rechner!$E$5+1971&lt;=Rechner!$B$6,Rechner!$E$5+1971,""))</f>
        <v/>
      </c>
      <c r="B1973">
        <f>IF(A1973="","",LOOKUP(A1973,Basiszins!$A$5:$A$18,Basiszins!$B$5:$B$18))</f>
        <v/>
      </c>
      <c r="C1973">
        <f>IF(A1973="","",B1973+Rechner!$E$7)</f>
        <v/>
      </c>
      <c r="D1973">
        <f>J1972</f>
        <v/>
      </c>
      <c r="E1973">
        <f>IF(A1973="",0,D1973*C1973/100/(DATE(YEAR(A1973)+1,1,1)-DATE(YEAR(A1973),1,1)))</f>
        <v/>
      </c>
      <c r="F1973">
        <f>IF(A1973="",0,SUMIF(Rechner!$A$12:$A$21,A1973,Rechner!$B$12:$B$21))</f>
        <v/>
      </c>
      <c r="G1973">
        <f>H1972+E1973</f>
        <v/>
      </c>
      <c r="H1973">
        <f>G1973-MIN(F1973,G1973)</f>
        <v/>
      </c>
      <c r="I1973">
        <f>MIN(F1973-MIN(F1973,G1973),D1973)</f>
        <v/>
      </c>
      <c r="J1973">
        <f>D1973-I1973</f>
        <v/>
      </c>
      <c r="K1973">
        <f>F1973-MIN(F1973,G1973)-I1973</f>
        <v/>
      </c>
    </row>
    <row r="1974">
      <c r="A1974" s="21">
        <f>IF(Rechner!$E$4&lt;&gt;"ok","",IF(Rechner!$E$5+1972&lt;=Rechner!$B$6,Rechner!$E$5+1972,""))</f>
        <v/>
      </c>
      <c r="B1974">
        <f>IF(A1974="","",LOOKUP(A1974,Basiszins!$A$5:$A$18,Basiszins!$B$5:$B$18))</f>
        <v/>
      </c>
      <c r="C1974">
        <f>IF(A1974="","",B1974+Rechner!$E$7)</f>
        <v/>
      </c>
      <c r="D1974">
        <f>J1973</f>
        <v/>
      </c>
      <c r="E1974">
        <f>IF(A1974="",0,D1974*C1974/100/(DATE(YEAR(A1974)+1,1,1)-DATE(YEAR(A1974),1,1)))</f>
        <v/>
      </c>
      <c r="F1974">
        <f>IF(A1974="",0,SUMIF(Rechner!$A$12:$A$21,A1974,Rechner!$B$12:$B$21))</f>
        <v/>
      </c>
      <c r="G1974">
        <f>H1973+E1974</f>
        <v/>
      </c>
      <c r="H1974">
        <f>G1974-MIN(F1974,G1974)</f>
        <v/>
      </c>
      <c r="I1974">
        <f>MIN(F1974-MIN(F1974,G1974),D1974)</f>
        <v/>
      </c>
      <c r="J1974">
        <f>D1974-I1974</f>
        <v/>
      </c>
      <c r="K1974">
        <f>F1974-MIN(F1974,G1974)-I1974</f>
        <v/>
      </c>
    </row>
    <row r="1975">
      <c r="A1975" s="21">
        <f>IF(Rechner!$E$4&lt;&gt;"ok","",IF(Rechner!$E$5+1973&lt;=Rechner!$B$6,Rechner!$E$5+1973,""))</f>
        <v/>
      </c>
      <c r="B1975">
        <f>IF(A1975="","",LOOKUP(A1975,Basiszins!$A$5:$A$18,Basiszins!$B$5:$B$18))</f>
        <v/>
      </c>
      <c r="C1975">
        <f>IF(A1975="","",B1975+Rechner!$E$7)</f>
        <v/>
      </c>
      <c r="D1975">
        <f>J1974</f>
        <v/>
      </c>
      <c r="E1975">
        <f>IF(A1975="",0,D1975*C1975/100/(DATE(YEAR(A1975)+1,1,1)-DATE(YEAR(A1975),1,1)))</f>
        <v/>
      </c>
      <c r="F1975">
        <f>IF(A1975="",0,SUMIF(Rechner!$A$12:$A$21,A1975,Rechner!$B$12:$B$21))</f>
        <v/>
      </c>
      <c r="G1975">
        <f>H1974+E1975</f>
        <v/>
      </c>
      <c r="H1975">
        <f>G1975-MIN(F1975,G1975)</f>
        <v/>
      </c>
      <c r="I1975">
        <f>MIN(F1975-MIN(F1975,G1975),D1975)</f>
        <v/>
      </c>
      <c r="J1975">
        <f>D1975-I1975</f>
        <v/>
      </c>
      <c r="K1975">
        <f>F1975-MIN(F1975,G1975)-I1975</f>
        <v/>
      </c>
    </row>
    <row r="1976">
      <c r="A1976" s="21">
        <f>IF(Rechner!$E$4&lt;&gt;"ok","",IF(Rechner!$E$5+1974&lt;=Rechner!$B$6,Rechner!$E$5+1974,""))</f>
        <v/>
      </c>
      <c r="B1976">
        <f>IF(A1976="","",LOOKUP(A1976,Basiszins!$A$5:$A$18,Basiszins!$B$5:$B$18))</f>
        <v/>
      </c>
      <c r="C1976">
        <f>IF(A1976="","",B1976+Rechner!$E$7)</f>
        <v/>
      </c>
      <c r="D1976">
        <f>J1975</f>
        <v/>
      </c>
      <c r="E1976">
        <f>IF(A1976="",0,D1976*C1976/100/(DATE(YEAR(A1976)+1,1,1)-DATE(YEAR(A1976),1,1)))</f>
        <v/>
      </c>
      <c r="F1976">
        <f>IF(A1976="",0,SUMIF(Rechner!$A$12:$A$21,A1976,Rechner!$B$12:$B$21))</f>
        <v/>
      </c>
      <c r="G1976">
        <f>H1975+E1976</f>
        <v/>
      </c>
      <c r="H1976">
        <f>G1976-MIN(F1976,G1976)</f>
        <v/>
      </c>
      <c r="I1976">
        <f>MIN(F1976-MIN(F1976,G1976),D1976)</f>
        <v/>
      </c>
      <c r="J1976">
        <f>D1976-I1976</f>
        <v/>
      </c>
      <c r="K1976">
        <f>F1976-MIN(F1976,G1976)-I1976</f>
        <v/>
      </c>
    </row>
    <row r="1977">
      <c r="A1977" s="21">
        <f>IF(Rechner!$E$4&lt;&gt;"ok","",IF(Rechner!$E$5+1975&lt;=Rechner!$B$6,Rechner!$E$5+1975,""))</f>
        <v/>
      </c>
      <c r="B1977">
        <f>IF(A1977="","",LOOKUP(A1977,Basiszins!$A$5:$A$18,Basiszins!$B$5:$B$18))</f>
        <v/>
      </c>
      <c r="C1977">
        <f>IF(A1977="","",B1977+Rechner!$E$7)</f>
        <v/>
      </c>
      <c r="D1977">
        <f>J1976</f>
        <v/>
      </c>
      <c r="E1977">
        <f>IF(A1977="",0,D1977*C1977/100/(DATE(YEAR(A1977)+1,1,1)-DATE(YEAR(A1977),1,1)))</f>
        <v/>
      </c>
      <c r="F1977">
        <f>IF(A1977="",0,SUMIF(Rechner!$A$12:$A$21,A1977,Rechner!$B$12:$B$21))</f>
        <v/>
      </c>
      <c r="G1977">
        <f>H1976+E1977</f>
        <v/>
      </c>
      <c r="H1977">
        <f>G1977-MIN(F1977,G1977)</f>
        <v/>
      </c>
      <c r="I1977">
        <f>MIN(F1977-MIN(F1977,G1977),D1977)</f>
        <v/>
      </c>
      <c r="J1977">
        <f>D1977-I1977</f>
        <v/>
      </c>
      <c r="K1977">
        <f>F1977-MIN(F1977,G1977)-I1977</f>
        <v/>
      </c>
    </row>
    <row r="1978">
      <c r="A1978" s="21">
        <f>IF(Rechner!$E$4&lt;&gt;"ok","",IF(Rechner!$E$5+1976&lt;=Rechner!$B$6,Rechner!$E$5+1976,""))</f>
        <v/>
      </c>
      <c r="B1978">
        <f>IF(A1978="","",LOOKUP(A1978,Basiszins!$A$5:$A$18,Basiszins!$B$5:$B$18))</f>
        <v/>
      </c>
      <c r="C1978">
        <f>IF(A1978="","",B1978+Rechner!$E$7)</f>
        <v/>
      </c>
      <c r="D1978">
        <f>J1977</f>
        <v/>
      </c>
      <c r="E1978">
        <f>IF(A1978="",0,D1978*C1978/100/(DATE(YEAR(A1978)+1,1,1)-DATE(YEAR(A1978),1,1)))</f>
        <v/>
      </c>
      <c r="F1978">
        <f>IF(A1978="",0,SUMIF(Rechner!$A$12:$A$21,A1978,Rechner!$B$12:$B$21))</f>
        <v/>
      </c>
      <c r="G1978">
        <f>H1977+E1978</f>
        <v/>
      </c>
      <c r="H1978">
        <f>G1978-MIN(F1978,G1978)</f>
        <v/>
      </c>
      <c r="I1978">
        <f>MIN(F1978-MIN(F1978,G1978),D1978)</f>
        <v/>
      </c>
      <c r="J1978">
        <f>D1978-I1978</f>
        <v/>
      </c>
      <c r="K1978">
        <f>F1978-MIN(F1978,G1978)-I1978</f>
        <v/>
      </c>
    </row>
    <row r="1979">
      <c r="A1979" s="21">
        <f>IF(Rechner!$E$4&lt;&gt;"ok","",IF(Rechner!$E$5+1977&lt;=Rechner!$B$6,Rechner!$E$5+1977,""))</f>
        <v/>
      </c>
      <c r="B1979">
        <f>IF(A1979="","",LOOKUP(A1979,Basiszins!$A$5:$A$18,Basiszins!$B$5:$B$18))</f>
        <v/>
      </c>
      <c r="C1979">
        <f>IF(A1979="","",B1979+Rechner!$E$7)</f>
        <v/>
      </c>
      <c r="D1979">
        <f>J1978</f>
        <v/>
      </c>
      <c r="E1979">
        <f>IF(A1979="",0,D1979*C1979/100/(DATE(YEAR(A1979)+1,1,1)-DATE(YEAR(A1979),1,1)))</f>
        <v/>
      </c>
      <c r="F1979">
        <f>IF(A1979="",0,SUMIF(Rechner!$A$12:$A$21,A1979,Rechner!$B$12:$B$21))</f>
        <v/>
      </c>
      <c r="G1979">
        <f>H1978+E1979</f>
        <v/>
      </c>
      <c r="H1979">
        <f>G1979-MIN(F1979,G1979)</f>
        <v/>
      </c>
      <c r="I1979">
        <f>MIN(F1979-MIN(F1979,G1979),D1979)</f>
        <v/>
      </c>
      <c r="J1979">
        <f>D1979-I1979</f>
        <v/>
      </c>
      <c r="K1979">
        <f>F1979-MIN(F1979,G1979)-I1979</f>
        <v/>
      </c>
    </row>
    <row r="1980">
      <c r="A1980" s="21">
        <f>IF(Rechner!$E$4&lt;&gt;"ok","",IF(Rechner!$E$5+1978&lt;=Rechner!$B$6,Rechner!$E$5+1978,""))</f>
        <v/>
      </c>
      <c r="B1980">
        <f>IF(A1980="","",LOOKUP(A1980,Basiszins!$A$5:$A$18,Basiszins!$B$5:$B$18))</f>
        <v/>
      </c>
      <c r="C1980">
        <f>IF(A1980="","",B1980+Rechner!$E$7)</f>
        <v/>
      </c>
      <c r="D1980">
        <f>J1979</f>
        <v/>
      </c>
      <c r="E1980">
        <f>IF(A1980="",0,D1980*C1980/100/(DATE(YEAR(A1980)+1,1,1)-DATE(YEAR(A1980),1,1)))</f>
        <v/>
      </c>
      <c r="F1980">
        <f>IF(A1980="",0,SUMIF(Rechner!$A$12:$A$21,A1980,Rechner!$B$12:$B$21))</f>
        <v/>
      </c>
      <c r="G1980">
        <f>H1979+E1980</f>
        <v/>
      </c>
      <c r="H1980">
        <f>G1980-MIN(F1980,G1980)</f>
        <v/>
      </c>
      <c r="I1980">
        <f>MIN(F1980-MIN(F1980,G1980),D1980)</f>
        <v/>
      </c>
      <c r="J1980">
        <f>D1980-I1980</f>
        <v/>
      </c>
      <c r="K1980">
        <f>F1980-MIN(F1980,G1980)-I1980</f>
        <v/>
      </c>
    </row>
    <row r="1981">
      <c r="A1981" s="21">
        <f>IF(Rechner!$E$4&lt;&gt;"ok","",IF(Rechner!$E$5+1979&lt;=Rechner!$B$6,Rechner!$E$5+1979,""))</f>
        <v/>
      </c>
      <c r="B1981">
        <f>IF(A1981="","",LOOKUP(A1981,Basiszins!$A$5:$A$18,Basiszins!$B$5:$B$18))</f>
        <v/>
      </c>
      <c r="C1981">
        <f>IF(A1981="","",B1981+Rechner!$E$7)</f>
        <v/>
      </c>
      <c r="D1981">
        <f>J1980</f>
        <v/>
      </c>
      <c r="E1981">
        <f>IF(A1981="",0,D1981*C1981/100/(DATE(YEAR(A1981)+1,1,1)-DATE(YEAR(A1981),1,1)))</f>
        <v/>
      </c>
      <c r="F1981">
        <f>IF(A1981="",0,SUMIF(Rechner!$A$12:$A$21,A1981,Rechner!$B$12:$B$21))</f>
        <v/>
      </c>
      <c r="G1981">
        <f>H1980+E1981</f>
        <v/>
      </c>
      <c r="H1981">
        <f>G1981-MIN(F1981,G1981)</f>
        <v/>
      </c>
      <c r="I1981">
        <f>MIN(F1981-MIN(F1981,G1981),D1981)</f>
        <v/>
      </c>
      <c r="J1981">
        <f>D1981-I1981</f>
        <v/>
      </c>
      <c r="K1981">
        <f>F1981-MIN(F1981,G1981)-I1981</f>
        <v/>
      </c>
    </row>
    <row r="1982">
      <c r="A1982" s="21">
        <f>IF(Rechner!$E$4&lt;&gt;"ok","",IF(Rechner!$E$5+1980&lt;=Rechner!$B$6,Rechner!$E$5+1980,""))</f>
        <v/>
      </c>
      <c r="B1982">
        <f>IF(A1982="","",LOOKUP(A1982,Basiszins!$A$5:$A$18,Basiszins!$B$5:$B$18))</f>
        <v/>
      </c>
      <c r="C1982">
        <f>IF(A1982="","",B1982+Rechner!$E$7)</f>
        <v/>
      </c>
      <c r="D1982">
        <f>J1981</f>
        <v/>
      </c>
      <c r="E1982">
        <f>IF(A1982="",0,D1982*C1982/100/(DATE(YEAR(A1982)+1,1,1)-DATE(YEAR(A1982),1,1)))</f>
        <v/>
      </c>
      <c r="F1982">
        <f>IF(A1982="",0,SUMIF(Rechner!$A$12:$A$21,A1982,Rechner!$B$12:$B$21))</f>
        <v/>
      </c>
      <c r="G1982">
        <f>H1981+E1982</f>
        <v/>
      </c>
      <c r="H1982">
        <f>G1982-MIN(F1982,G1982)</f>
        <v/>
      </c>
      <c r="I1982">
        <f>MIN(F1982-MIN(F1982,G1982),D1982)</f>
        <v/>
      </c>
      <c r="J1982">
        <f>D1982-I1982</f>
        <v/>
      </c>
      <c r="K1982">
        <f>F1982-MIN(F1982,G1982)-I1982</f>
        <v/>
      </c>
    </row>
    <row r="1983">
      <c r="A1983" s="21">
        <f>IF(Rechner!$E$4&lt;&gt;"ok","",IF(Rechner!$E$5+1981&lt;=Rechner!$B$6,Rechner!$E$5+1981,""))</f>
        <v/>
      </c>
      <c r="B1983">
        <f>IF(A1983="","",LOOKUP(A1983,Basiszins!$A$5:$A$18,Basiszins!$B$5:$B$18))</f>
        <v/>
      </c>
      <c r="C1983">
        <f>IF(A1983="","",B1983+Rechner!$E$7)</f>
        <v/>
      </c>
      <c r="D1983">
        <f>J1982</f>
        <v/>
      </c>
      <c r="E1983">
        <f>IF(A1983="",0,D1983*C1983/100/(DATE(YEAR(A1983)+1,1,1)-DATE(YEAR(A1983),1,1)))</f>
        <v/>
      </c>
      <c r="F1983">
        <f>IF(A1983="",0,SUMIF(Rechner!$A$12:$A$21,A1983,Rechner!$B$12:$B$21))</f>
        <v/>
      </c>
      <c r="G1983">
        <f>H1982+E1983</f>
        <v/>
      </c>
      <c r="H1983">
        <f>G1983-MIN(F1983,G1983)</f>
        <v/>
      </c>
      <c r="I1983">
        <f>MIN(F1983-MIN(F1983,G1983),D1983)</f>
        <v/>
      </c>
      <c r="J1983">
        <f>D1983-I1983</f>
        <v/>
      </c>
      <c r="K1983">
        <f>F1983-MIN(F1983,G1983)-I1983</f>
        <v/>
      </c>
    </row>
    <row r="1984">
      <c r="A1984" s="21">
        <f>IF(Rechner!$E$4&lt;&gt;"ok","",IF(Rechner!$E$5+1982&lt;=Rechner!$B$6,Rechner!$E$5+1982,""))</f>
        <v/>
      </c>
      <c r="B1984">
        <f>IF(A1984="","",LOOKUP(A1984,Basiszins!$A$5:$A$18,Basiszins!$B$5:$B$18))</f>
        <v/>
      </c>
      <c r="C1984">
        <f>IF(A1984="","",B1984+Rechner!$E$7)</f>
        <v/>
      </c>
      <c r="D1984">
        <f>J1983</f>
        <v/>
      </c>
      <c r="E1984">
        <f>IF(A1984="",0,D1984*C1984/100/(DATE(YEAR(A1984)+1,1,1)-DATE(YEAR(A1984),1,1)))</f>
        <v/>
      </c>
      <c r="F1984">
        <f>IF(A1984="",0,SUMIF(Rechner!$A$12:$A$21,A1984,Rechner!$B$12:$B$21))</f>
        <v/>
      </c>
      <c r="G1984">
        <f>H1983+E1984</f>
        <v/>
      </c>
      <c r="H1984">
        <f>G1984-MIN(F1984,G1984)</f>
        <v/>
      </c>
      <c r="I1984">
        <f>MIN(F1984-MIN(F1984,G1984),D1984)</f>
        <v/>
      </c>
      <c r="J1984">
        <f>D1984-I1984</f>
        <v/>
      </c>
      <c r="K1984">
        <f>F1984-MIN(F1984,G1984)-I1984</f>
        <v/>
      </c>
    </row>
    <row r="1985">
      <c r="A1985" s="21">
        <f>IF(Rechner!$E$4&lt;&gt;"ok","",IF(Rechner!$E$5+1983&lt;=Rechner!$B$6,Rechner!$E$5+1983,""))</f>
        <v/>
      </c>
      <c r="B1985">
        <f>IF(A1985="","",LOOKUP(A1985,Basiszins!$A$5:$A$18,Basiszins!$B$5:$B$18))</f>
        <v/>
      </c>
      <c r="C1985">
        <f>IF(A1985="","",B1985+Rechner!$E$7)</f>
        <v/>
      </c>
      <c r="D1985">
        <f>J1984</f>
        <v/>
      </c>
      <c r="E1985">
        <f>IF(A1985="",0,D1985*C1985/100/(DATE(YEAR(A1985)+1,1,1)-DATE(YEAR(A1985),1,1)))</f>
        <v/>
      </c>
      <c r="F1985">
        <f>IF(A1985="",0,SUMIF(Rechner!$A$12:$A$21,A1985,Rechner!$B$12:$B$21))</f>
        <v/>
      </c>
      <c r="G1985">
        <f>H1984+E1985</f>
        <v/>
      </c>
      <c r="H1985">
        <f>G1985-MIN(F1985,G1985)</f>
        <v/>
      </c>
      <c r="I1985">
        <f>MIN(F1985-MIN(F1985,G1985),D1985)</f>
        <v/>
      </c>
      <c r="J1985">
        <f>D1985-I1985</f>
        <v/>
      </c>
      <c r="K1985">
        <f>F1985-MIN(F1985,G1985)-I1985</f>
        <v/>
      </c>
    </row>
    <row r="1986">
      <c r="A1986" s="21">
        <f>IF(Rechner!$E$4&lt;&gt;"ok","",IF(Rechner!$E$5+1984&lt;=Rechner!$B$6,Rechner!$E$5+1984,""))</f>
        <v/>
      </c>
      <c r="B1986">
        <f>IF(A1986="","",LOOKUP(A1986,Basiszins!$A$5:$A$18,Basiszins!$B$5:$B$18))</f>
        <v/>
      </c>
      <c r="C1986">
        <f>IF(A1986="","",B1986+Rechner!$E$7)</f>
        <v/>
      </c>
      <c r="D1986">
        <f>J1985</f>
        <v/>
      </c>
      <c r="E1986">
        <f>IF(A1986="",0,D1986*C1986/100/(DATE(YEAR(A1986)+1,1,1)-DATE(YEAR(A1986),1,1)))</f>
        <v/>
      </c>
      <c r="F1986">
        <f>IF(A1986="",0,SUMIF(Rechner!$A$12:$A$21,A1986,Rechner!$B$12:$B$21))</f>
        <v/>
      </c>
      <c r="G1986">
        <f>H1985+E1986</f>
        <v/>
      </c>
      <c r="H1986">
        <f>G1986-MIN(F1986,G1986)</f>
        <v/>
      </c>
      <c r="I1986">
        <f>MIN(F1986-MIN(F1986,G1986),D1986)</f>
        <v/>
      </c>
      <c r="J1986">
        <f>D1986-I1986</f>
        <v/>
      </c>
      <c r="K1986">
        <f>F1986-MIN(F1986,G1986)-I1986</f>
        <v/>
      </c>
    </row>
    <row r="1987">
      <c r="A1987" s="21">
        <f>IF(Rechner!$E$4&lt;&gt;"ok","",IF(Rechner!$E$5+1985&lt;=Rechner!$B$6,Rechner!$E$5+1985,""))</f>
        <v/>
      </c>
      <c r="B1987">
        <f>IF(A1987="","",LOOKUP(A1987,Basiszins!$A$5:$A$18,Basiszins!$B$5:$B$18))</f>
        <v/>
      </c>
      <c r="C1987">
        <f>IF(A1987="","",B1987+Rechner!$E$7)</f>
        <v/>
      </c>
      <c r="D1987">
        <f>J1986</f>
        <v/>
      </c>
      <c r="E1987">
        <f>IF(A1987="",0,D1987*C1987/100/(DATE(YEAR(A1987)+1,1,1)-DATE(YEAR(A1987),1,1)))</f>
        <v/>
      </c>
      <c r="F1987">
        <f>IF(A1987="",0,SUMIF(Rechner!$A$12:$A$21,A1987,Rechner!$B$12:$B$21))</f>
        <v/>
      </c>
      <c r="G1987">
        <f>H1986+E1987</f>
        <v/>
      </c>
      <c r="H1987">
        <f>G1987-MIN(F1987,G1987)</f>
        <v/>
      </c>
      <c r="I1987">
        <f>MIN(F1987-MIN(F1987,G1987),D1987)</f>
        <v/>
      </c>
      <c r="J1987">
        <f>D1987-I1987</f>
        <v/>
      </c>
      <c r="K1987">
        <f>F1987-MIN(F1987,G1987)-I1987</f>
        <v/>
      </c>
    </row>
    <row r="1988">
      <c r="A1988" s="21">
        <f>IF(Rechner!$E$4&lt;&gt;"ok","",IF(Rechner!$E$5+1986&lt;=Rechner!$B$6,Rechner!$E$5+1986,""))</f>
        <v/>
      </c>
      <c r="B1988">
        <f>IF(A1988="","",LOOKUP(A1988,Basiszins!$A$5:$A$18,Basiszins!$B$5:$B$18))</f>
        <v/>
      </c>
      <c r="C1988">
        <f>IF(A1988="","",B1988+Rechner!$E$7)</f>
        <v/>
      </c>
      <c r="D1988">
        <f>J1987</f>
        <v/>
      </c>
      <c r="E1988">
        <f>IF(A1988="",0,D1988*C1988/100/(DATE(YEAR(A1988)+1,1,1)-DATE(YEAR(A1988),1,1)))</f>
        <v/>
      </c>
      <c r="F1988">
        <f>IF(A1988="",0,SUMIF(Rechner!$A$12:$A$21,A1988,Rechner!$B$12:$B$21))</f>
        <v/>
      </c>
      <c r="G1988">
        <f>H1987+E1988</f>
        <v/>
      </c>
      <c r="H1988">
        <f>G1988-MIN(F1988,G1988)</f>
        <v/>
      </c>
      <c r="I1988">
        <f>MIN(F1988-MIN(F1988,G1988),D1988)</f>
        <v/>
      </c>
      <c r="J1988">
        <f>D1988-I1988</f>
        <v/>
      </c>
      <c r="K1988">
        <f>F1988-MIN(F1988,G1988)-I1988</f>
        <v/>
      </c>
    </row>
    <row r="1989">
      <c r="A1989" s="21">
        <f>IF(Rechner!$E$4&lt;&gt;"ok","",IF(Rechner!$E$5+1987&lt;=Rechner!$B$6,Rechner!$E$5+1987,""))</f>
        <v/>
      </c>
      <c r="B1989">
        <f>IF(A1989="","",LOOKUP(A1989,Basiszins!$A$5:$A$18,Basiszins!$B$5:$B$18))</f>
        <v/>
      </c>
      <c r="C1989">
        <f>IF(A1989="","",B1989+Rechner!$E$7)</f>
        <v/>
      </c>
      <c r="D1989">
        <f>J1988</f>
        <v/>
      </c>
      <c r="E1989">
        <f>IF(A1989="",0,D1989*C1989/100/(DATE(YEAR(A1989)+1,1,1)-DATE(YEAR(A1989),1,1)))</f>
        <v/>
      </c>
      <c r="F1989">
        <f>IF(A1989="",0,SUMIF(Rechner!$A$12:$A$21,A1989,Rechner!$B$12:$B$21))</f>
        <v/>
      </c>
      <c r="G1989">
        <f>H1988+E1989</f>
        <v/>
      </c>
      <c r="H1989">
        <f>G1989-MIN(F1989,G1989)</f>
        <v/>
      </c>
      <c r="I1989">
        <f>MIN(F1989-MIN(F1989,G1989),D1989)</f>
        <v/>
      </c>
      <c r="J1989">
        <f>D1989-I1989</f>
        <v/>
      </c>
      <c r="K1989">
        <f>F1989-MIN(F1989,G1989)-I1989</f>
        <v/>
      </c>
    </row>
    <row r="1990">
      <c r="A1990" s="21">
        <f>IF(Rechner!$E$4&lt;&gt;"ok","",IF(Rechner!$E$5+1988&lt;=Rechner!$B$6,Rechner!$E$5+1988,""))</f>
        <v/>
      </c>
      <c r="B1990">
        <f>IF(A1990="","",LOOKUP(A1990,Basiszins!$A$5:$A$18,Basiszins!$B$5:$B$18))</f>
        <v/>
      </c>
      <c r="C1990">
        <f>IF(A1990="","",B1990+Rechner!$E$7)</f>
        <v/>
      </c>
      <c r="D1990">
        <f>J1989</f>
        <v/>
      </c>
      <c r="E1990">
        <f>IF(A1990="",0,D1990*C1990/100/(DATE(YEAR(A1990)+1,1,1)-DATE(YEAR(A1990),1,1)))</f>
        <v/>
      </c>
      <c r="F1990">
        <f>IF(A1990="",0,SUMIF(Rechner!$A$12:$A$21,A1990,Rechner!$B$12:$B$21))</f>
        <v/>
      </c>
      <c r="G1990">
        <f>H1989+E1990</f>
        <v/>
      </c>
      <c r="H1990">
        <f>G1990-MIN(F1990,G1990)</f>
        <v/>
      </c>
      <c r="I1990">
        <f>MIN(F1990-MIN(F1990,G1990),D1990)</f>
        <v/>
      </c>
      <c r="J1990">
        <f>D1990-I1990</f>
        <v/>
      </c>
      <c r="K1990">
        <f>F1990-MIN(F1990,G1990)-I1990</f>
        <v/>
      </c>
    </row>
    <row r="1991">
      <c r="A1991" s="21">
        <f>IF(Rechner!$E$4&lt;&gt;"ok","",IF(Rechner!$E$5+1989&lt;=Rechner!$B$6,Rechner!$E$5+1989,""))</f>
        <v/>
      </c>
      <c r="B1991">
        <f>IF(A1991="","",LOOKUP(A1991,Basiszins!$A$5:$A$18,Basiszins!$B$5:$B$18))</f>
        <v/>
      </c>
      <c r="C1991">
        <f>IF(A1991="","",B1991+Rechner!$E$7)</f>
        <v/>
      </c>
      <c r="D1991">
        <f>J1990</f>
        <v/>
      </c>
      <c r="E1991">
        <f>IF(A1991="",0,D1991*C1991/100/(DATE(YEAR(A1991)+1,1,1)-DATE(YEAR(A1991),1,1)))</f>
        <v/>
      </c>
      <c r="F1991">
        <f>IF(A1991="",0,SUMIF(Rechner!$A$12:$A$21,A1991,Rechner!$B$12:$B$21))</f>
        <v/>
      </c>
      <c r="G1991">
        <f>H1990+E1991</f>
        <v/>
      </c>
      <c r="H1991">
        <f>G1991-MIN(F1991,G1991)</f>
        <v/>
      </c>
      <c r="I1991">
        <f>MIN(F1991-MIN(F1991,G1991),D1991)</f>
        <v/>
      </c>
      <c r="J1991">
        <f>D1991-I1991</f>
        <v/>
      </c>
      <c r="K1991">
        <f>F1991-MIN(F1991,G1991)-I1991</f>
        <v/>
      </c>
    </row>
    <row r="1992">
      <c r="A1992" s="21">
        <f>IF(Rechner!$E$4&lt;&gt;"ok","",IF(Rechner!$E$5+1990&lt;=Rechner!$B$6,Rechner!$E$5+1990,""))</f>
        <v/>
      </c>
      <c r="B1992">
        <f>IF(A1992="","",LOOKUP(A1992,Basiszins!$A$5:$A$18,Basiszins!$B$5:$B$18))</f>
        <v/>
      </c>
      <c r="C1992">
        <f>IF(A1992="","",B1992+Rechner!$E$7)</f>
        <v/>
      </c>
      <c r="D1992">
        <f>J1991</f>
        <v/>
      </c>
      <c r="E1992">
        <f>IF(A1992="",0,D1992*C1992/100/(DATE(YEAR(A1992)+1,1,1)-DATE(YEAR(A1992),1,1)))</f>
        <v/>
      </c>
      <c r="F1992">
        <f>IF(A1992="",0,SUMIF(Rechner!$A$12:$A$21,A1992,Rechner!$B$12:$B$21))</f>
        <v/>
      </c>
      <c r="G1992">
        <f>H1991+E1992</f>
        <v/>
      </c>
      <c r="H1992">
        <f>G1992-MIN(F1992,G1992)</f>
        <v/>
      </c>
      <c r="I1992">
        <f>MIN(F1992-MIN(F1992,G1992),D1992)</f>
        <v/>
      </c>
      <c r="J1992">
        <f>D1992-I1992</f>
        <v/>
      </c>
      <c r="K1992">
        <f>F1992-MIN(F1992,G1992)-I1992</f>
        <v/>
      </c>
    </row>
    <row r="1993">
      <c r="A1993" s="21">
        <f>IF(Rechner!$E$4&lt;&gt;"ok","",IF(Rechner!$E$5+1991&lt;=Rechner!$B$6,Rechner!$E$5+1991,""))</f>
        <v/>
      </c>
      <c r="B1993">
        <f>IF(A1993="","",LOOKUP(A1993,Basiszins!$A$5:$A$18,Basiszins!$B$5:$B$18))</f>
        <v/>
      </c>
      <c r="C1993">
        <f>IF(A1993="","",B1993+Rechner!$E$7)</f>
        <v/>
      </c>
      <c r="D1993">
        <f>J1992</f>
        <v/>
      </c>
      <c r="E1993">
        <f>IF(A1993="",0,D1993*C1993/100/(DATE(YEAR(A1993)+1,1,1)-DATE(YEAR(A1993),1,1)))</f>
        <v/>
      </c>
      <c r="F1993">
        <f>IF(A1993="",0,SUMIF(Rechner!$A$12:$A$21,A1993,Rechner!$B$12:$B$21))</f>
        <v/>
      </c>
      <c r="G1993">
        <f>H1992+E1993</f>
        <v/>
      </c>
      <c r="H1993">
        <f>G1993-MIN(F1993,G1993)</f>
        <v/>
      </c>
      <c r="I1993">
        <f>MIN(F1993-MIN(F1993,G1993),D1993)</f>
        <v/>
      </c>
      <c r="J1993">
        <f>D1993-I1993</f>
        <v/>
      </c>
      <c r="K1993">
        <f>F1993-MIN(F1993,G1993)-I1993</f>
        <v/>
      </c>
    </row>
    <row r="1994">
      <c r="A1994" s="21">
        <f>IF(Rechner!$E$4&lt;&gt;"ok","",IF(Rechner!$E$5+1992&lt;=Rechner!$B$6,Rechner!$E$5+1992,""))</f>
        <v/>
      </c>
      <c r="B1994">
        <f>IF(A1994="","",LOOKUP(A1994,Basiszins!$A$5:$A$18,Basiszins!$B$5:$B$18))</f>
        <v/>
      </c>
      <c r="C1994">
        <f>IF(A1994="","",B1994+Rechner!$E$7)</f>
        <v/>
      </c>
      <c r="D1994">
        <f>J1993</f>
        <v/>
      </c>
      <c r="E1994">
        <f>IF(A1994="",0,D1994*C1994/100/(DATE(YEAR(A1994)+1,1,1)-DATE(YEAR(A1994),1,1)))</f>
        <v/>
      </c>
      <c r="F1994">
        <f>IF(A1994="",0,SUMIF(Rechner!$A$12:$A$21,A1994,Rechner!$B$12:$B$21))</f>
        <v/>
      </c>
      <c r="G1994">
        <f>H1993+E1994</f>
        <v/>
      </c>
      <c r="H1994">
        <f>G1994-MIN(F1994,G1994)</f>
        <v/>
      </c>
      <c r="I1994">
        <f>MIN(F1994-MIN(F1994,G1994),D1994)</f>
        <v/>
      </c>
      <c r="J1994">
        <f>D1994-I1994</f>
        <v/>
      </c>
      <c r="K1994">
        <f>F1994-MIN(F1994,G1994)-I1994</f>
        <v/>
      </c>
    </row>
    <row r="1995">
      <c r="A1995" s="21">
        <f>IF(Rechner!$E$4&lt;&gt;"ok","",IF(Rechner!$E$5+1993&lt;=Rechner!$B$6,Rechner!$E$5+1993,""))</f>
        <v/>
      </c>
      <c r="B1995">
        <f>IF(A1995="","",LOOKUP(A1995,Basiszins!$A$5:$A$18,Basiszins!$B$5:$B$18))</f>
        <v/>
      </c>
      <c r="C1995">
        <f>IF(A1995="","",B1995+Rechner!$E$7)</f>
        <v/>
      </c>
      <c r="D1995">
        <f>J1994</f>
        <v/>
      </c>
      <c r="E1995">
        <f>IF(A1995="",0,D1995*C1995/100/(DATE(YEAR(A1995)+1,1,1)-DATE(YEAR(A1995),1,1)))</f>
        <v/>
      </c>
      <c r="F1995">
        <f>IF(A1995="",0,SUMIF(Rechner!$A$12:$A$21,A1995,Rechner!$B$12:$B$21))</f>
        <v/>
      </c>
      <c r="G1995">
        <f>H1994+E1995</f>
        <v/>
      </c>
      <c r="H1995">
        <f>G1995-MIN(F1995,G1995)</f>
        <v/>
      </c>
      <c r="I1995">
        <f>MIN(F1995-MIN(F1995,G1995),D1995)</f>
        <v/>
      </c>
      <c r="J1995">
        <f>D1995-I1995</f>
        <v/>
      </c>
      <c r="K1995">
        <f>F1995-MIN(F1995,G1995)-I1995</f>
        <v/>
      </c>
    </row>
    <row r="1996">
      <c r="A1996" s="21">
        <f>IF(Rechner!$E$4&lt;&gt;"ok","",IF(Rechner!$E$5+1994&lt;=Rechner!$B$6,Rechner!$E$5+1994,""))</f>
        <v/>
      </c>
      <c r="B1996">
        <f>IF(A1996="","",LOOKUP(A1996,Basiszins!$A$5:$A$18,Basiszins!$B$5:$B$18))</f>
        <v/>
      </c>
      <c r="C1996">
        <f>IF(A1996="","",B1996+Rechner!$E$7)</f>
        <v/>
      </c>
      <c r="D1996">
        <f>J1995</f>
        <v/>
      </c>
      <c r="E1996">
        <f>IF(A1996="",0,D1996*C1996/100/(DATE(YEAR(A1996)+1,1,1)-DATE(YEAR(A1996),1,1)))</f>
        <v/>
      </c>
      <c r="F1996">
        <f>IF(A1996="",0,SUMIF(Rechner!$A$12:$A$21,A1996,Rechner!$B$12:$B$21))</f>
        <v/>
      </c>
      <c r="G1996">
        <f>H1995+E1996</f>
        <v/>
      </c>
      <c r="H1996">
        <f>G1996-MIN(F1996,G1996)</f>
        <v/>
      </c>
      <c r="I1996">
        <f>MIN(F1996-MIN(F1996,G1996),D1996)</f>
        <v/>
      </c>
      <c r="J1996">
        <f>D1996-I1996</f>
        <v/>
      </c>
      <c r="K1996">
        <f>F1996-MIN(F1996,G1996)-I1996</f>
        <v/>
      </c>
    </row>
    <row r="1997">
      <c r="A1997" s="21">
        <f>IF(Rechner!$E$4&lt;&gt;"ok","",IF(Rechner!$E$5+1995&lt;=Rechner!$B$6,Rechner!$E$5+1995,""))</f>
        <v/>
      </c>
      <c r="B1997">
        <f>IF(A1997="","",LOOKUP(A1997,Basiszins!$A$5:$A$18,Basiszins!$B$5:$B$18))</f>
        <v/>
      </c>
      <c r="C1997">
        <f>IF(A1997="","",B1997+Rechner!$E$7)</f>
        <v/>
      </c>
      <c r="D1997">
        <f>J1996</f>
        <v/>
      </c>
      <c r="E1997">
        <f>IF(A1997="",0,D1997*C1997/100/(DATE(YEAR(A1997)+1,1,1)-DATE(YEAR(A1997),1,1)))</f>
        <v/>
      </c>
      <c r="F1997">
        <f>IF(A1997="",0,SUMIF(Rechner!$A$12:$A$21,A1997,Rechner!$B$12:$B$21))</f>
        <v/>
      </c>
      <c r="G1997">
        <f>H1996+E1997</f>
        <v/>
      </c>
      <c r="H1997">
        <f>G1997-MIN(F1997,G1997)</f>
        <v/>
      </c>
      <c r="I1997">
        <f>MIN(F1997-MIN(F1997,G1997),D1997)</f>
        <v/>
      </c>
      <c r="J1997">
        <f>D1997-I1997</f>
        <v/>
      </c>
      <c r="K1997">
        <f>F1997-MIN(F1997,G1997)-I1997</f>
        <v/>
      </c>
    </row>
    <row r="1998">
      <c r="A1998" s="21">
        <f>IF(Rechner!$E$4&lt;&gt;"ok","",IF(Rechner!$E$5+1996&lt;=Rechner!$B$6,Rechner!$E$5+1996,""))</f>
        <v/>
      </c>
      <c r="B1998">
        <f>IF(A1998="","",LOOKUP(A1998,Basiszins!$A$5:$A$18,Basiszins!$B$5:$B$18))</f>
        <v/>
      </c>
      <c r="C1998">
        <f>IF(A1998="","",B1998+Rechner!$E$7)</f>
        <v/>
      </c>
      <c r="D1998">
        <f>J1997</f>
        <v/>
      </c>
      <c r="E1998">
        <f>IF(A1998="",0,D1998*C1998/100/(DATE(YEAR(A1998)+1,1,1)-DATE(YEAR(A1998),1,1)))</f>
        <v/>
      </c>
      <c r="F1998">
        <f>IF(A1998="",0,SUMIF(Rechner!$A$12:$A$21,A1998,Rechner!$B$12:$B$21))</f>
        <v/>
      </c>
      <c r="G1998">
        <f>H1997+E1998</f>
        <v/>
      </c>
      <c r="H1998">
        <f>G1998-MIN(F1998,G1998)</f>
        <v/>
      </c>
      <c r="I1998">
        <f>MIN(F1998-MIN(F1998,G1998),D1998)</f>
        <v/>
      </c>
      <c r="J1998">
        <f>D1998-I1998</f>
        <v/>
      </c>
      <c r="K1998">
        <f>F1998-MIN(F1998,G1998)-I1998</f>
        <v/>
      </c>
    </row>
    <row r="1999">
      <c r="A1999" s="21">
        <f>IF(Rechner!$E$4&lt;&gt;"ok","",IF(Rechner!$E$5+1997&lt;=Rechner!$B$6,Rechner!$E$5+1997,""))</f>
        <v/>
      </c>
      <c r="B1999">
        <f>IF(A1999="","",LOOKUP(A1999,Basiszins!$A$5:$A$18,Basiszins!$B$5:$B$18))</f>
        <v/>
      </c>
      <c r="C1999">
        <f>IF(A1999="","",B1999+Rechner!$E$7)</f>
        <v/>
      </c>
      <c r="D1999">
        <f>J1998</f>
        <v/>
      </c>
      <c r="E1999">
        <f>IF(A1999="",0,D1999*C1999/100/(DATE(YEAR(A1999)+1,1,1)-DATE(YEAR(A1999),1,1)))</f>
        <v/>
      </c>
      <c r="F1999">
        <f>IF(A1999="",0,SUMIF(Rechner!$A$12:$A$21,A1999,Rechner!$B$12:$B$21))</f>
        <v/>
      </c>
      <c r="G1999">
        <f>H1998+E1999</f>
        <v/>
      </c>
      <c r="H1999">
        <f>G1999-MIN(F1999,G1999)</f>
        <v/>
      </c>
      <c r="I1999">
        <f>MIN(F1999-MIN(F1999,G1999),D1999)</f>
        <v/>
      </c>
      <c r="J1999">
        <f>D1999-I1999</f>
        <v/>
      </c>
      <c r="K1999">
        <f>F1999-MIN(F1999,G1999)-I1999</f>
        <v/>
      </c>
    </row>
    <row r="2000">
      <c r="A2000" s="21">
        <f>IF(Rechner!$E$4&lt;&gt;"ok","",IF(Rechner!$E$5+1998&lt;=Rechner!$B$6,Rechner!$E$5+1998,""))</f>
        <v/>
      </c>
      <c r="B2000">
        <f>IF(A2000="","",LOOKUP(A2000,Basiszins!$A$5:$A$18,Basiszins!$B$5:$B$18))</f>
        <v/>
      </c>
      <c r="C2000">
        <f>IF(A2000="","",B2000+Rechner!$E$7)</f>
        <v/>
      </c>
      <c r="D2000">
        <f>J1999</f>
        <v/>
      </c>
      <c r="E2000">
        <f>IF(A2000="",0,D2000*C2000/100/(DATE(YEAR(A2000)+1,1,1)-DATE(YEAR(A2000),1,1)))</f>
        <v/>
      </c>
      <c r="F2000">
        <f>IF(A2000="",0,SUMIF(Rechner!$A$12:$A$21,A2000,Rechner!$B$12:$B$21))</f>
        <v/>
      </c>
      <c r="G2000">
        <f>H1999+E2000</f>
        <v/>
      </c>
      <c r="H2000">
        <f>G2000-MIN(F2000,G2000)</f>
        <v/>
      </c>
      <c r="I2000">
        <f>MIN(F2000-MIN(F2000,G2000),D2000)</f>
        <v/>
      </c>
      <c r="J2000">
        <f>D2000-I2000</f>
        <v/>
      </c>
      <c r="K2000">
        <f>F2000-MIN(F2000,G2000)-I2000</f>
        <v/>
      </c>
    </row>
    <row r="2001">
      <c r="A2001" s="21">
        <f>IF(Rechner!$E$4&lt;&gt;"ok","",IF(Rechner!$E$5+1999&lt;=Rechner!$B$6,Rechner!$E$5+1999,""))</f>
        <v/>
      </c>
      <c r="B2001">
        <f>IF(A2001="","",LOOKUP(A2001,Basiszins!$A$5:$A$18,Basiszins!$B$5:$B$18))</f>
        <v/>
      </c>
      <c r="C2001">
        <f>IF(A2001="","",B2001+Rechner!$E$7)</f>
        <v/>
      </c>
      <c r="D2001">
        <f>J2000</f>
        <v/>
      </c>
      <c r="E2001">
        <f>IF(A2001="",0,D2001*C2001/100/(DATE(YEAR(A2001)+1,1,1)-DATE(YEAR(A2001),1,1)))</f>
        <v/>
      </c>
      <c r="F2001">
        <f>IF(A2001="",0,SUMIF(Rechner!$A$12:$A$21,A2001,Rechner!$B$12:$B$21))</f>
        <v/>
      </c>
      <c r="G2001">
        <f>H2000+E2001</f>
        <v/>
      </c>
      <c r="H2001">
        <f>G2001-MIN(F2001,G2001)</f>
        <v/>
      </c>
      <c r="I2001">
        <f>MIN(F2001-MIN(F2001,G2001),D2001)</f>
        <v/>
      </c>
      <c r="J2001">
        <f>D2001-I2001</f>
        <v/>
      </c>
      <c r="K2001">
        <f>F2001-MIN(F2001,G2001)-I2001</f>
        <v/>
      </c>
    </row>
    <row r="2002">
      <c r="A2002" s="21">
        <f>IF(Rechner!$E$4&lt;&gt;"ok","",IF(Rechner!$E$5+2000&lt;=Rechner!$B$6,Rechner!$E$5+2000,""))</f>
        <v/>
      </c>
      <c r="B2002">
        <f>IF(A2002="","",LOOKUP(A2002,Basiszins!$A$5:$A$18,Basiszins!$B$5:$B$18))</f>
        <v/>
      </c>
      <c r="C2002">
        <f>IF(A2002="","",B2002+Rechner!$E$7)</f>
        <v/>
      </c>
      <c r="D2002">
        <f>J2001</f>
        <v/>
      </c>
      <c r="E2002">
        <f>IF(A2002="",0,D2002*C2002/100/(DATE(YEAR(A2002)+1,1,1)-DATE(YEAR(A2002),1,1)))</f>
        <v/>
      </c>
      <c r="F2002">
        <f>IF(A2002="",0,SUMIF(Rechner!$A$12:$A$21,A2002,Rechner!$B$12:$B$21))</f>
        <v/>
      </c>
      <c r="G2002">
        <f>H2001+E2002</f>
        <v/>
      </c>
      <c r="H2002">
        <f>G2002-MIN(F2002,G2002)</f>
        <v/>
      </c>
      <c r="I2002">
        <f>MIN(F2002-MIN(F2002,G2002),D2002)</f>
        <v/>
      </c>
      <c r="J2002">
        <f>D2002-I2002</f>
        <v/>
      </c>
      <c r="K2002">
        <f>F2002-MIN(F2002,G2002)-I2002</f>
        <v/>
      </c>
    </row>
    <row r="2003">
      <c r="A2003" s="21">
        <f>IF(Rechner!$E$4&lt;&gt;"ok","",IF(Rechner!$E$5+2001&lt;=Rechner!$B$6,Rechner!$E$5+2001,""))</f>
        <v/>
      </c>
      <c r="B2003">
        <f>IF(A2003="","",LOOKUP(A2003,Basiszins!$A$5:$A$18,Basiszins!$B$5:$B$18))</f>
        <v/>
      </c>
      <c r="C2003">
        <f>IF(A2003="","",B2003+Rechner!$E$7)</f>
        <v/>
      </c>
      <c r="D2003">
        <f>J2002</f>
        <v/>
      </c>
      <c r="E2003">
        <f>IF(A2003="",0,D2003*C2003/100/(DATE(YEAR(A2003)+1,1,1)-DATE(YEAR(A2003),1,1)))</f>
        <v/>
      </c>
      <c r="F2003">
        <f>IF(A2003="",0,SUMIF(Rechner!$A$12:$A$21,A2003,Rechner!$B$12:$B$21))</f>
        <v/>
      </c>
      <c r="G2003">
        <f>H2002+E2003</f>
        <v/>
      </c>
      <c r="H2003">
        <f>G2003-MIN(F2003,G2003)</f>
        <v/>
      </c>
      <c r="I2003">
        <f>MIN(F2003-MIN(F2003,G2003),D2003)</f>
        <v/>
      </c>
      <c r="J2003">
        <f>D2003-I2003</f>
        <v/>
      </c>
      <c r="K2003">
        <f>F2003-MIN(F2003,G2003)-I2003</f>
        <v/>
      </c>
    </row>
    <row r="2004">
      <c r="A2004" s="21">
        <f>IF(Rechner!$E$4&lt;&gt;"ok","",IF(Rechner!$E$5+2002&lt;=Rechner!$B$6,Rechner!$E$5+2002,""))</f>
        <v/>
      </c>
      <c r="B2004">
        <f>IF(A2004="","",LOOKUP(A2004,Basiszins!$A$5:$A$18,Basiszins!$B$5:$B$18))</f>
        <v/>
      </c>
      <c r="C2004">
        <f>IF(A2004="","",B2004+Rechner!$E$7)</f>
        <v/>
      </c>
      <c r="D2004">
        <f>J2003</f>
        <v/>
      </c>
      <c r="E2004">
        <f>IF(A2004="",0,D2004*C2004/100/(DATE(YEAR(A2004)+1,1,1)-DATE(YEAR(A2004),1,1)))</f>
        <v/>
      </c>
      <c r="F2004">
        <f>IF(A2004="",0,SUMIF(Rechner!$A$12:$A$21,A2004,Rechner!$B$12:$B$21))</f>
        <v/>
      </c>
      <c r="G2004">
        <f>H2003+E2004</f>
        <v/>
      </c>
      <c r="H2004">
        <f>G2004-MIN(F2004,G2004)</f>
        <v/>
      </c>
      <c r="I2004">
        <f>MIN(F2004-MIN(F2004,G2004),D2004)</f>
        <v/>
      </c>
      <c r="J2004">
        <f>D2004-I2004</f>
        <v/>
      </c>
      <c r="K2004">
        <f>F2004-MIN(F2004,G2004)-I2004</f>
        <v/>
      </c>
    </row>
    <row r="2005">
      <c r="A2005" s="21">
        <f>IF(Rechner!$E$4&lt;&gt;"ok","",IF(Rechner!$E$5+2003&lt;=Rechner!$B$6,Rechner!$E$5+2003,""))</f>
        <v/>
      </c>
      <c r="B2005">
        <f>IF(A2005="","",LOOKUP(A2005,Basiszins!$A$5:$A$18,Basiszins!$B$5:$B$18))</f>
        <v/>
      </c>
      <c r="C2005">
        <f>IF(A2005="","",B2005+Rechner!$E$7)</f>
        <v/>
      </c>
      <c r="D2005">
        <f>J2004</f>
        <v/>
      </c>
      <c r="E2005">
        <f>IF(A2005="",0,D2005*C2005/100/(DATE(YEAR(A2005)+1,1,1)-DATE(YEAR(A2005),1,1)))</f>
        <v/>
      </c>
      <c r="F2005">
        <f>IF(A2005="",0,SUMIF(Rechner!$A$12:$A$21,A2005,Rechner!$B$12:$B$21))</f>
        <v/>
      </c>
      <c r="G2005">
        <f>H2004+E2005</f>
        <v/>
      </c>
      <c r="H2005">
        <f>G2005-MIN(F2005,G2005)</f>
        <v/>
      </c>
      <c r="I2005">
        <f>MIN(F2005-MIN(F2005,G2005),D2005)</f>
        <v/>
      </c>
      <c r="J2005">
        <f>D2005-I2005</f>
        <v/>
      </c>
      <c r="K2005">
        <f>F2005-MIN(F2005,G2005)-I2005</f>
        <v/>
      </c>
    </row>
    <row r="2006">
      <c r="A2006" s="21">
        <f>IF(Rechner!$E$4&lt;&gt;"ok","",IF(Rechner!$E$5+2004&lt;=Rechner!$B$6,Rechner!$E$5+2004,""))</f>
        <v/>
      </c>
      <c r="B2006">
        <f>IF(A2006="","",LOOKUP(A2006,Basiszins!$A$5:$A$18,Basiszins!$B$5:$B$18))</f>
        <v/>
      </c>
      <c r="C2006">
        <f>IF(A2006="","",B2006+Rechner!$E$7)</f>
        <v/>
      </c>
      <c r="D2006">
        <f>J2005</f>
        <v/>
      </c>
      <c r="E2006">
        <f>IF(A2006="",0,D2006*C2006/100/(DATE(YEAR(A2006)+1,1,1)-DATE(YEAR(A2006),1,1)))</f>
        <v/>
      </c>
      <c r="F2006">
        <f>IF(A2006="",0,SUMIF(Rechner!$A$12:$A$21,A2006,Rechner!$B$12:$B$21))</f>
        <v/>
      </c>
      <c r="G2006">
        <f>H2005+E2006</f>
        <v/>
      </c>
      <c r="H2006">
        <f>G2006-MIN(F2006,G2006)</f>
        <v/>
      </c>
      <c r="I2006">
        <f>MIN(F2006-MIN(F2006,G2006),D2006)</f>
        <v/>
      </c>
      <c r="J2006">
        <f>D2006-I2006</f>
        <v/>
      </c>
      <c r="K2006">
        <f>F2006-MIN(F2006,G2006)-I2006</f>
        <v/>
      </c>
    </row>
    <row r="2007">
      <c r="A2007" s="21">
        <f>IF(Rechner!$E$4&lt;&gt;"ok","",IF(Rechner!$E$5+2005&lt;=Rechner!$B$6,Rechner!$E$5+2005,""))</f>
        <v/>
      </c>
      <c r="B2007">
        <f>IF(A2007="","",LOOKUP(A2007,Basiszins!$A$5:$A$18,Basiszins!$B$5:$B$18))</f>
        <v/>
      </c>
      <c r="C2007">
        <f>IF(A2007="","",B2007+Rechner!$E$7)</f>
        <v/>
      </c>
      <c r="D2007">
        <f>J2006</f>
        <v/>
      </c>
      <c r="E2007">
        <f>IF(A2007="",0,D2007*C2007/100/(DATE(YEAR(A2007)+1,1,1)-DATE(YEAR(A2007),1,1)))</f>
        <v/>
      </c>
      <c r="F2007">
        <f>IF(A2007="",0,SUMIF(Rechner!$A$12:$A$21,A2007,Rechner!$B$12:$B$21))</f>
        <v/>
      </c>
      <c r="G2007">
        <f>H2006+E2007</f>
        <v/>
      </c>
      <c r="H2007">
        <f>G2007-MIN(F2007,G2007)</f>
        <v/>
      </c>
      <c r="I2007">
        <f>MIN(F2007-MIN(F2007,G2007),D2007)</f>
        <v/>
      </c>
      <c r="J2007">
        <f>D2007-I2007</f>
        <v/>
      </c>
      <c r="K2007">
        <f>F2007-MIN(F2007,G2007)-I2007</f>
        <v/>
      </c>
    </row>
    <row r="2008">
      <c r="A2008" s="21">
        <f>IF(Rechner!$E$4&lt;&gt;"ok","",IF(Rechner!$E$5+2006&lt;=Rechner!$B$6,Rechner!$E$5+2006,""))</f>
        <v/>
      </c>
      <c r="B2008">
        <f>IF(A2008="","",LOOKUP(A2008,Basiszins!$A$5:$A$18,Basiszins!$B$5:$B$18))</f>
        <v/>
      </c>
      <c r="C2008">
        <f>IF(A2008="","",B2008+Rechner!$E$7)</f>
        <v/>
      </c>
      <c r="D2008">
        <f>J2007</f>
        <v/>
      </c>
      <c r="E2008">
        <f>IF(A2008="",0,D2008*C2008/100/(DATE(YEAR(A2008)+1,1,1)-DATE(YEAR(A2008),1,1)))</f>
        <v/>
      </c>
      <c r="F2008">
        <f>IF(A2008="",0,SUMIF(Rechner!$A$12:$A$21,A2008,Rechner!$B$12:$B$21))</f>
        <v/>
      </c>
      <c r="G2008">
        <f>H2007+E2008</f>
        <v/>
      </c>
      <c r="H2008">
        <f>G2008-MIN(F2008,G2008)</f>
        <v/>
      </c>
      <c r="I2008">
        <f>MIN(F2008-MIN(F2008,G2008),D2008)</f>
        <v/>
      </c>
      <c r="J2008">
        <f>D2008-I2008</f>
        <v/>
      </c>
      <c r="K2008">
        <f>F2008-MIN(F2008,G2008)-I2008</f>
        <v/>
      </c>
    </row>
    <row r="2009">
      <c r="A2009" s="21">
        <f>IF(Rechner!$E$4&lt;&gt;"ok","",IF(Rechner!$E$5+2007&lt;=Rechner!$B$6,Rechner!$E$5+2007,""))</f>
        <v/>
      </c>
      <c r="B2009">
        <f>IF(A2009="","",LOOKUP(A2009,Basiszins!$A$5:$A$18,Basiszins!$B$5:$B$18))</f>
        <v/>
      </c>
      <c r="C2009">
        <f>IF(A2009="","",B2009+Rechner!$E$7)</f>
        <v/>
      </c>
      <c r="D2009">
        <f>J2008</f>
        <v/>
      </c>
      <c r="E2009">
        <f>IF(A2009="",0,D2009*C2009/100/(DATE(YEAR(A2009)+1,1,1)-DATE(YEAR(A2009),1,1)))</f>
        <v/>
      </c>
      <c r="F2009">
        <f>IF(A2009="",0,SUMIF(Rechner!$A$12:$A$21,A2009,Rechner!$B$12:$B$21))</f>
        <v/>
      </c>
      <c r="G2009">
        <f>H2008+E2009</f>
        <v/>
      </c>
      <c r="H2009">
        <f>G2009-MIN(F2009,G2009)</f>
        <v/>
      </c>
      <c r="I2009">
        <f>MIN(F2009-MIN(F2009,G2009),D2009)</f>
        <v/>
      </c>
      <c r="J2009">
        <f>D2009-I2009</f>
        <v/>
      </c>
      <c r="K2009">
        <f>F2009-MIN(F2009,G2009)-I2009</f>
        <v/>
      </c>
    </row>
    <row r="2010">
      <c r="A2010" s="21">
        <f>IF(Rechner!$E$4&lt;&gt;"ok","",IF(Rechner!$E$5+2008&lt;=Rechner!$B$6,Rechner!$E$5+2008,""))</f>
        <v/>
      </c>
      <c r="B2010">
        <f>IF(A2010="","",LOOKUP(A2010,Basiszins!$A$5:$A$18,Basiszins!$B$5:$B$18))</f>
        <v/>
      </c>
      <c r="C2010">
        <f>IF(A2010="","",B2010+Rechner!$E$7)</f>
        <v/>
      </c>
      <c r="D2010">
        <f>J2009</f>
        <v/>
      </c>
      <c r="E2010">
        <f>IF(A2010="",0,D2010*C2010/100/(DATE(YEAR(A2010)+1,1,1)-DATE(YEAR(A2010),1,1)))</f>
        <v/>
      </c>
      <c r="F2010">
        <f>IF(A2010="",0,SUMIF(Rechner!$A$12:$A$21,A2010,Rechner!$B$12:$B$21))</f>
        <v/>
      </c>
      <c r="G2010">
        <f>H2009+E2010</f>
        <v/>
      </c>
      <c r="H2010">
        <f>G2010-MIN(F2010,G2010)</f>
        <v/>
      </c>
      <c r="I2010">
        <f>MIN(F2010-MIN(F2010,G2010),D2010)</f>
        <v/>
      </c>
      <c r="J2010">
        <f>D2010-I2010</f>
        <v/>
      </c>
      <c r="K2010">
        <f>F2010-MIN(F2010,G2010)-I2010</f>
        <v/>
      </c>
    </row>
    <row r="2011">
      <c r="A2011" s="21">
        <f>IF(Rechner!$E$4&lt;&gt;"ok","",IF(Rechner!$E$5+2009&lt;=Rechner!$B$6,Rechner!$E$5+2009,""))</f>
        <v/>
      </c>
      <c r="B2011">
        <f>IF(A2011="","",LOOKUP(A2011,Basiszins!$A$5:$A$18,Basiszins!$B$5:$B$18))</f>
        <v/>
      </c>
      <c r="C2011">
        <f>IF(A2011="","",B2011+Rechner!$E$7)</f>
        <v/>
      </c>
      <c r="D2011">
        <f>J2010</f>
        <v/>
      </c>
      <c r="E2011">
        <f>IF(A2011="",0,D2011*C2011/100/(DATE(YEAR(A2011)+1,1,1)-DATE(YEAR(A2011),1,1)))</f>
        <v/>
      </c>
      <c r="F2011">
        <f>IF(A2011="",0,SUMIF(Rechner!$A$12:$A$21,A2011,Rechner!$B$12:$B$21))</f>
        <v/>
      </c>
      <c r="G2011">
        <f>H2010+E2011</f>
        <v/>
      </c>
      <c r="H2011">
        <f>G2011-MIN(F2011,G2011)</f>
        <v/>
      </c>
      <c r="I2011">
        <f>MIN(F2011-MIN(F2011,G2011),D2011)</f>
        <v/>
      </c>
      <c r="J2011">
        <f>D2011-I2011</f>
        <v/>
      </c>
      <c r="K2011">
        <f>F2011-MIN(F2011,G2011)-I2011</f>
        <v/>
      </c>
    </row>
    <row r="2012">
      <c r="A2012" s="21">
        <f>IF(Rechner!$E$4&lt;&gt;"ok","",IF(Rechner!$E$5+2010&lt;=Rechner!$B$6,Rechner!$E$5+2010,""))</f>
        <v/>
      </c>
      <c r="B2012">
        <f>IF(A2012="","",LOOKUP(A2012,Basiszins!$A$5:$A$18,Basiszins!$B$5:$B$18))</f>
        <v/>
      </c>
      <c r="C2012">
        <f>IF(A2012="","",B2012+Rechner!$E$7)</f>
        <v/>
      </c>
      <c r="D2012">
        <f>J2011</f>
        <v/>
      </c>
      <c r="E2012">
        <f>IF(A2012="",0,D2012*C2012/100/(DATE(YEAR(A2012)+1,1,1)-DATE(YEAR(A2012),1,1)))</f>
        <v/>
      </c>
      <c r="F2012">
        <f>IF(A2012="",0,SUMIF(Rechner!$A$12:$A$21,A2012,Rechner!$B$12:$B$21))</f>
        <v/>
      </c>
      <c r="G2012">
        <f>H2011+E2012</f>
        <v/>
      </c>
      <c r="H2012">
        <f>G2012-MIN(F2012,G2012)</f>
        <v/>
      </c>
      <c r="I2012">
        <f>MIN(F2012-MIN(F2012,G2012),D2012)</f>
        <v/>
      </c>
      <c r="J2012">
        <f>D2012-I2012</f>
        <v/>
      </c>
      <c r="K2012">
        <f>F2012-MIN(F2012,G2012)-I2012</f>
        <v/>
      </c>
    </row>
    <row r="2013">
      <c r="A2013" s="21">
        <f>IF(Rechner!$E$4&lt;&gt;"ok","",IF(Rechner!$E$5+2011&lt;=Rechner!$B$6,Rechner!$E$5+2011,""))</f>
        <v/>
      </c>
      <c r="B2013">
        <f>IF(A2013="","",LOOKUP(A2013,Basiszins!$A$5:$A$18,Basiszins!$B$5:$B$18))</f>
        <v/>
      </c>
      <c r="C2013">
        <f>IF(A2013="","",B2013+Rechner!$E$7)</f>
        <v/>
      </c>
      <c r="D2013">
        <f>J2012</f>
        <v/>
      </c>
      <c r="E2013">
        <f>IF(A2013="",0,D2013*C2013/100/(DATE(YEAR(A2013)+1,1,1)-DATE(YEAR(A2013),1,1)))</f>
        <v/>
      </c>
      <c r="F2013">
        <f>IF(A2013="",0,SUMIF(Rechner!$A$12:$A$21,A2013,Rechner!$B$12:$B$21))</f>
        <v/>
      </c>
      <c r="G2013">
        <f>H2012+E2013</f>
        <v/>
      </c>
      <c r="H2013">
        <f>G2013-MIN(F2013,G2013)</f>
        <v/>
      </c>
      <c r="I2013">
        <f>MIN(F2013-MIN(F2013,G2013),D2013)</f>
        <v/>
      </c>
      <c r="J2013">
        <f>D2013-I2013</f>
        <v/>
      </c>
      <c r="K2013">
        <f>F2013-MIN(F2013,G2013)-I2013</f>
        <v/>
      </c>
    </row>
    <row r="2014">
      <c r="A2014" s="21">
        <f>IF(Rechner!$E$4&lt;&gt;"ok","",IF(Rechner!$E$5+2012&lt;=Rechner!$B$6,Rechner!$E$5+2012,""))</f>
        <v/>
      </c>
      <c r="B2014">
        <f>IF(A2014="","",LOOKUP(A2014,Basiszins!$A$5:$A$18,Basiszins!$B$5:$B$18))</f>
        <v/>
      </c>
      <c r="C2014">
        <f>IF(A2014="","",B2014+Rechner!$E$7)</f>
        <v/>
      </c>
      <c r="D2014">
        <f>J2013</f>
        <v/>
      </c>
      <c r="E2014">
        <f>IF(A2014="",0,D2014*C2014/100/(DATE(YEAR(A2014)+1,1,1)-DATE(YEAR(A2014),1,1)))</f>
        <v/>
      </c>
      <c r="F2014">
        <f>IF(A2014="",0,SUMIF(Rechner!$A$12:$A$21,A2014,Rechner!$B$12:$B$21))</f>
        <v/>
      </c>
      <c r="G2014">
        <f>H2013+E2014</f>
        <v/>
      </c>
      <c r="H2014">
        <f>G2014-MIN(F2014,G2014)</f>
        <v/>
      </c>
      <c r="I2014">
        <f>MIN(F2014-MIN(F2014,G2014),D2014)</f>
        <v/>
      </c>
      <c r="J2014">
        <f>D2014-I2014</f>
        <v/>
      </c>
      <c r="K2014">
        <f>F2014-MIN(F2014,G2014)-I2014</f>
        <v/>
      </c>
    </row>
    <row r="2015">
      <c r="A2015" s="21">
        <f>IF(Rechner!$E$4&lt;&gt;"ok","",IF(Rechner!$E$5+2013&lt;=Rechner!$B$6,Rechner!$E$5+2013,""))</f>
        <v/>
      </c>
      <c r="B2015">
        <f>IF(A2015="","",LOOKUP(A2015,Basiszins!$A$5:$A$18,Basiszins!$B$5:$B$18))</f>
        <v/>
      </c>
      <c r="C2015">
        <f>IF(A2015="","",B2015+Rechner!$E$7)</f>
        <v/>
      </c>
      <c r="D2015">
        <f>J2014</f>
        <v/>
      </c>
      <c r="E2015">
        <f>IF(A2015="",0,D2015*C2015/100/(DATE(YEAR(A2015)+1,1,1)-DATE(YEAR(A2015),1,1)))</f>
        <v/>
      </c>
      <c r="F2015">
        <f>IF(A2015="",0,SUMIF(Rechner!$A$12:$A$21,A2015,Rechner!$B$12:$B$21))</f>
        <v/>
      </c>
      <c r="G2015">
        <f>H2014+E2015</f>
        <v/>
      </c>
      <c r="H2015">
        <f>G2015-MIN(F2015,G2015)</f>
        <v/>
      </c>
      <c r="I2015">
        <f>MIN(F2015-MIN(F2015,G2015),D2015)</f>
        <v/>
      </c>
      <c r="J2015">
        <f>D2015-I2015</f>
        <v/>
      </c>
      <c r="K2015">
        <f>F2015-MIN(F2015,G2015)-I2015</f>
        <v/>
      </c>
    </row>
    <row r="2016">
      <c r="A2016" s="21">
        <f>IF(Rechner!$E$4&lt;&gt;"ok","",IF(Rechner!$E$5+2014&lt;=Rechner!$B$6,Rechner!$E$5+2014,""))</f>
        <v/>
      </c>
      <c r="B2016">
        <f>IF(A2016="","",LOOKUP(A2016,Basiszins!$A$5:$A$18,Basiszins!$B$5:$B$18))</f>
        <v/>
      </c>
      <c r="C2016">
        <f>IF(A2016="","",B2016+Rechner!$E$7)</f>
        <v/>
      </c>
      <c r="D2016">
        <f>J2015</f>
        <v/>
      </c>
      <c r="E2016">
        <f>IF(A2016="",0,D2016*C2016/100/(DATE(YEAR(A2016)+1,1,1)-DATE(YEAR(A2016),1,1)))</f>
        <v/>
      </c>
      <c r="F2016">
        <f>IF(A2016="",0,SUMIF(Rechner!$A$12:$A$21,A2016,Rechner!$B$12:$B$21))</f>
        <v/>
      </c>
      <c r="G2016">
        <f>H2015+E2016</f>
        <v/>
      </c>
      <c r="H2016">
        <f>G2016-MIN(F2016,G2016)</f>
        <v/>
      </c>
      <c r="I2016">
        <f>MIN(F2016-MIN(F2016,G2016),D2016)</f>
        <v/>
      </c>
      <c r="J2016">
        <f>D2016-I2016</f>
        <v/>
      </c>
      <c r="K2016">
        <f>F2016-MIN(F2016,G2016)-I2016</f>
        <v/>
      </c>
    </row>
    <row r="2017">
      <c r="A2017" s="21">
        <f>IF(Rechner!$E$4&lt;&gt;"ok","",IF(Rechner!$E$5+2015&lt;=Rechner!$B$6,Rechner!$E$5+2015,""))</f>
        <v/>
      </c>
      <c r="B2017">
        <f>IF(A2017="","",LOOKUP(A2017,Basiszins!$A$5:$A$18,Basiszins!$B$5:$B$18))</f>
        <v/>
      </c>
      <c r="C2017">
        <f>IF(A2017="","",B2017+Rechner!$E$7)</f>
        <v/>
      </c>
      <c r="D2017">
        <f>J2016</f>
        <v/>
      </c>
      <c r="E2017">
        <f>IF(A2017="",0,D2017*C2017/100/(DATE(YEAR(A2017)+1,1,1)-DATE(YEAR(A2017),1,1)))</f>
        <v/>
      </c>
      <c r="F2017">
        <f>IF(A2017="",0,SUMIF(Rechner!$A$12:$A$21,A2017,Rechner!$B$12:$B$21))</f>
        <v/>
      </c>
      <c r="G2017">
        <f>H2016+E2017</f>
        <v/>
      </c>
      <c r="H2017">
        <f>G2017-MIN(F2017,G2017)</f>
        <v/>
      </c>
      <c r="I2017">
        <f>MIN(F2017-MIN(F2017,G2017),D2017)</f>
        <v/>
      </c>
      <c r="J2017">
        <f>D2017-I2017</f>
        <v/>
      </c>
      <c r="K2017">
        <f>F2017-MIN(F2017,G2017)-I2017</f>
        <v/>
      </c>
    </row>
    <row r="2018">
      <c r="A2018" s="21">
        <f>IF(Rechner!$E$4&lt;&gt;"ok","",IF(Rechner!$E$5+2016&lt;=Rechner!$B$6,Rechner!$E$5+2016,""))</f>
        <v/>
      </c>
      <c r="B2018">
        <f>IF(A2018="","",LOOKUP(A2018,Basiszins!$A$5:$A$18,Basiszins!$B$5:$B$18))</f>
        <v/>
      </c>
      <c r="C2018">
        <f>IF(A2018="","",B2018+Rechner!$E$7)</f>
        <v/>
      </c>
      <c r="D2018">
        <f>J2017</f>
        <v/>
      </c>
      <c r="E2018">
        <f>IF(A2018="",0,D2018*C2018/100/(DATE(YEAR(A2018)+1,1,1)-DATE(YEAR(A2018),1,1)))</f>
        <v/>
      </c>
      <c r="F2018">
        <f>IF(A2018="",0,SUMIF(Rechner!$A$12:$A$21,A2018,Rechner!$B$12:$B$21))</f>
        <v/>
      </c>
      <c r="G2018">
        <f>H2017+E2018</f>
        <v/>
      </c>
      <c r="H2018">
        <f>G2018-MIN(F2018,G2018)</f>
        <v/>
      </c>
      <c r="I2018">
        <f>MIN(F2018-MIN(F2018,G2018),D2018)</f>
        <v/>
      </c>
      <c r="J2018">
        <f>D2018-I2018</f>
        <v/>
      </c>
      <c r="K2018">
        <f>F2018-MIN(F2018,G2018)-I2018</f>
        <v/>
      </c>
    </row>
    <row r="2019">
      <c r="A2019" s="21">
        <f>IF(Rechner!$E$4&lt;&gt;"ok","",IF(Rechner!$E$5+2017&lt;=Rechner!$B$6,Rechner!$E$5+2017,""))</f>
        <v/>
      </c>
      <c r="B2019">
        <f>IF(A2019="","",LOOKUP(A2019,Basiszins!$A$5:$A$18,Basiszins!$B$5:$B$18))</f>
        <v/>
      </c>
      <c r="C2019">
        <f>IF(A2019="","",B2019+Rechner!$E$7)</f>
        <v/>
      </c>
      <c r="D2019">
        <f>J2018</f>
        <v/>
      </c>
      <c r="E2019">
        <f>IF(A2019="",0,D2019*C2019/100/(DATE(YEAR(A2019)+1,1,1)-DATE(YEAR(A2019),1,1)))</f>
        <v/>
      </c>
      <c r="F2019">
        <f>IF(A2019="",0,SUMIF(Rechner!$A$12:$A$21,A2019,Rechner!$B$12:$B$21))</f>
        <v/>
      </c>
      <c r="G2019">
        <f>H2018+E2019</f>
        <v/>
      </c>
      <c r="H2019">
        <f>G2019-MIN(F2019,G2019)</f>
        <v/>
      </c>
      <c r="I2019">
        <f>MIN(F2019-MIN(F2019,G2019),D2019)</f>
        <v/>
      </c>
      <c r="J2019">
        <f>D2019-I2019</f>
        <v/>
      </c>
      <c r="K2019">
        <f>F2019-MIN(F2019,G2019)-I2019</f>
        <v/>
      </c>
    </row>
    <row r="2020">
      <c r="A2020" s="21">
        <f>IF(Rechner!$E$4&lt;&gt;"ok","",IF(Rechner!$E$5+2018&lt;=Rechner!$B$6,Rechner!$E$5+2018,""))</f>
        <v/>
      </c>
      <c r="B2020">
        <f>IF(A2020="","",LOOKUP(A2020,Basiszins!$A$5:$A$18,Basiszins!$B$5:$B$18))</f>
        <v/>
      </c>
      <c r="C2020">
        <f>IF(A2020="","",B2020+Rechner!$E$7)</f>
        <v/>
      </c>
      <c r="D2020">
        <f>J2019</f>
        <v/>
      </c>
      <c r="E2020">
        <f>IF(A2020="",0,D2020*C2020/100/(DATE(YEAR(A2020)+1,1,1)-DATE(YEAR(A2020),1,1)))</f>
        <v/>
      </c>
      <c r="F2020">
        <f>IF(A2020="",0,SUMIF(Rechner!$A$12:$A$21,A2020,Rechner!$B$12:$B$21))</f>
        <v/>
      </c>
      <c r="G2020">
        <f>H2019+E2020</f>
        <v/>
      </c>
      <c r="H2020">
        <f>G2020-MIN(F2020,G2020)</f>
        <v/>
      </c>
      <c r="I2020">
        <f>MIN(F2020-MIN(F2020,G2020),D2020)</f>
        <v/>
      </c>
      <c r="J2020">
        <f>D2020-I2020</f>
        <v/>
      </c>
      <c r="K2020">
        <f>F2020-MIN(F2020,G2020)-I2020</f>
        <v/>
      </c>
    </row>
    <row r="2021">
      <c r="A2021" s="21">
        <f>IF(Rechner!$E$4&lt;&gt;"ok","",IF(Rechner!$E$5+2019&lt;=Rechner!$B$6,Rechner!$E$5+2019,""))</f>
        <v/>
      </c>
      <c r="B2021">
        <f>IF(A2021="","",LOOKUP(A2021,Basiszins!$A$5:$A$18,Basiszins!$B$5:$B$18))</f>
        <v/>
      </c>
      <c r="C2021">
        <f>IF(A2021="","",B2021+Rechner!$E$7)</f>
        <v/>
      </c>
      <c r="D2021">
        <f>J2020</f>
        <v/>
      </c>
      <c r="E2021">
        <f>IF(A2021="",0,D2021*C2021/100/(DATE(YEAR(A2021)+1,1,1)-DATE(YEAR(A2021),1,1)))</f>
        <v/>
      </c>
      <c r="F2021">
        <f>IF(A2021="",0,SUMIF(Rechner!$A$12:$A$21,A2021,Rechner!$B$12:$B$21))</f>
        <v/>
      </c>
      <c r="G2021">
        <f>H2020+E2021</f>
        <v/>
      </c>
      <c r="H2021">
        <f>G2021-MIN(F2021,G2021)</f>
        <v/>
      </c>
      <c r="I2021">
        <f>MIN(F2021-MIN(F2021,G2021),D2021)</f>
        <v/>
      </c>
      <c r="J2021">
        <f>D2021-I2021</f>
        <v/>
      </c>
      <c r="K2021">
        <f>F2021-MIN(F2021,G2021)-I2021</f>
        <v/>
      </c>
    </row>
    <row r="2022">
      <c r="A2022" s="21">
        <f>IF(Rechner!$E$4&lt;&gt;"ok","",IF(Rechner!$E$5+2020&lt;=Rechner!$B$6,Rechner!$E$5+2020,""))</f>
        <v/>
      </c>
      <c r="B2022">
        <f>IF(A2022="","",LOOKUP(A2022,Basiszins!$A$5:$A$18,Basiszins!$B$5:$B$18))</f>
        <v/>
      </c>
      <c r="C2022">
        <f>IF(A2022="","",B2022+Rechner!$E$7)</f>
        <v/>
      </c>
      <c r="D2022">
        <f>J2021</f>
        <v/>
      </c>
      <c r="E2022">
        <f>IF(A2022="",0,D2022*C2022/100/(DATE(YEAR(A2022)+1,1,1)-DATE(YEAR(A2022),1,1)))</f>
        <v/>
      </c>
      <c r="F2022">
        <f>IF(A2022="",0,SUMIF(Rechner!$A$12:$A$21,A2022,Rechner!$B$12:$B$21))</f>
        <v/>
      </c>
      <c r="G2022">
        <f>H2021+E2022</f>
        <v/>
      </c>
      <c r="H2022">
        <f>G2022-MIN(F2022,G2022)</f>
        <v/>
      </c>
      <c r="I2022">
        <f>MIN(F2022-MIN(F2022,G2022),D2022)</f>
        <v/>
      </c>
      <c r="J2022">
        <f>D2022-I2022</f>
        <v/>
      </c>
      <c r="K2022">
        <f>F2022-MIN(F2022,G2022)-I2022</f>
        <v/>
      </c>
    </row>
    <row r="2023">
      <c r="A2023" s="21">
        <f>IF(Rechner!$E$4&lt;&gt;"ok","",IF(Rechner!$E$5+2021&lt;=Rechner!$B$6,Rechner!$E$5+2021,""))</f>
        <v/>
      </c>
      <c r="B2023">
        <f>IF(A2023="","",LOOKUP(A2023,Basiszins!$A$5:$A$18,Basiszins!$B$5:$B$18))</f>
        <v/>
      </c>
      <c r="C2023">
        <f>IF(A2023="","",B2023+Rechner!$E$7)</f>
        <v/>
      </c>
      <c r="D2023">
        <f>J2022</f>
        <v/>
      </c>
      <c r="E2023">
        <f>IF(A2023="",0,D2023*C2023/100/(DATE(YEAR(A2023)+1,1,1)-DATE(YEAR(A2023),1,1)))</f>
        <v/>
      </c>
      <c r="F2023">
        <f>IF(A2023="",0,SUMIF(Rechner!$A$12:$A$21,A2023,Rechner!$B$12:$B$21))</f>
        <v/>
      </c>
      <c r="G2023">
        <f>H2022+E2023</f>
        <v/>
      </c>
      <c r="H2023">
        <f>G2023-MIN(F2023,G2023)</f>
        <v/>
      </c>
      <c r="I2023">
        <f>MIN(F2023-MIN(F2023,G2023),D2023)</f>
        <v/>
      </c>
      <c r="J2023">
        <f>D2023-I2023</f>
        <v/>
      </c>
      <c r="K2023">
        <f>F2023-MIN(F2023,G2023)-I2023</f>
        <v/>
      </c>
    </row>
    <row r="2024">
      <c r="A2024" s="21">
        <f>IF(Rechner!$E$4&lt;&gt;"ok","",IF(Rechner!$E$5+2022&lt;=Rechner!$B$6,Rechner!$E$5+2022,""))</f>
        <v/>
      </c>
      <c r="B2024">
        <f>IF(A2024="","",LOOKUP(A2024,Basiszins!$A$5:$A$18,Basiszins!$B$5:$B$18))</f>
        <v/>
      </c>
      <c r="C2024">
        <f>IF(A2024="","",B2024+Rechner!$E$7)</f>
        <v/>
      </c>
      <c r="D2024">
        <f>J2023</f>
        <v/>
      </c>
      <c r="E2024">
        <f>IF(A2024="",0,D2024*C2024/100/(DATE(YEAR(A2024)+1,1,1)-DATE(YEAR(A2024),1,1)))</f>
        <v/>
      </c>
      <c r="F2024">
        <f>IF(A2024="",0,SUMIF(Rechner!$A$12:$A$21,A2024,Rechner!$B$12:$B$21))</f>
        <v/>
      </c>
      <c r="G2024">
        <f>H2023+E2024</f>
        <v/>
      </c>
      <c r="H2024">
        <f>G2024-MIN(F2024,G2024)</f>
        <v/>
      </c>
      <c r="I2024">
        <f>MIN(F2024-MIN(F2024,G2024),D2024)</f>
        <v/>
      </c>
      <c r="J2024">
        <f>D2024-I2024</f>
        <v/>
      </c>
      <c r="K2024">
        <f>F2024-MIN(F2024,G2024)-I2024</f>
        <v/>
      </c>
    </row>
    <row r="2025">
      <c r="A2025" s="21">
        <f>IF(Rechner!$E$4&lt;&gt;"ok","",IF(Rechner!$E$5+2023&lt;=Rechner!$B$6,Rechner!$E$5+2023,""))</f>
        <v/>
      </c>
      <c r="B2025">
        <f>IF(A2025="","",LOOKUP(A2025,Basiszins!$A$5:$A$18,Basiszins!$B$5:$B$18))</f>
        <v/>
      </c>
      <c r="C2025">
        <f>IF(A2025="","",B2025+Rechner!$E$7)</f>
        <v/>
      </c>
      <c r="D2025">
        <f>J2024</f>
        <v/>
      </c>
      <c r="E2025">
        <f>IF(A2025="",0,D2025*C2025/100/(DATE(YEAR(A2025)+1,1,1)-DATE(YEAR(A2025),1,1)))</f>
        <v/>
      </c>
      <c r="F2025">
        <f>IF(A2025="",0,SUMIF(Rechner!$A$12:$A$21,A2025,Rechner!$B$12:$B$21))</f>
        <v/>
      </c>
      <c r="G2025">
        <f>H2024+E2025</f>
        <v/>
      </c>
      <c r="H2025">
        <f>G2025-MIN(F2025,G2025)</f>
        <v/>
      </c>
      <c r="I2025">
        <f>MIN(F2025-MIN(F2025,G2025),D2025)</f>
        <v/>
      </c>
      <c r="J2025">
        <f>D2025-I2025</f>
        <v/>
      </c>
      <c r="K2025">
        <f>F2025-MIN(F2025,G2025)-I2025</f>
        <v/>
      </c>
    </row>
    <row r="2026">
      <c r="A2026" s="21">
        <f>IF(Rechner!$E$4&lt;&gt;"ok","",IF(Rechner!$E$5+2024&lt;=Rechner!$B$6,Rechner!$E$5+2024,""))</f>
        <v/>
      </c>
      <c r="B2026">
        <f>IF(A2026="","",LOOKUP(A2026,Basiszins!$A$5:$A$18,Basiszins!$B$5:$B$18))</f>
        <v/>
      </c>
      <c r="C2026">
        <f>IF(A2026="","",B2026+Rechner!$E$7)</f>
        <v/>
      </c>
      <c r="D2026">
        <f>J2025</f>
        <v/>
      </c>
      <c r="E2026">
        <f>IF(A2026="",0,D2026*C2026/100/(DATE(YEAR(A2026)+1,1,1)-DATE(YEAR(A2026),1,1)))</f>
        <v/>
      </c>
      <c r="F2026">
        <f>IF(A2026="",0,SUMIF(Rechner!$A$12:$A$21,A2026,Rechner!$B$12:$B$21))</f>
        <v/>
      </c>
      <c r="G2026">
        <f>H2025+E2026</f>
        <v/>
      </c>
      <c r="H2026">
        <f>G2026-MIN(F2026,G2026)</f>
        <v/>
      </c>
      <c r="I2026">
        <f>MIN(F2026-MIN(F2026,G2026),D2026)</f>
        <v/>
      </c>
      <c r="J2026">
        <f>D2026-I2026</f>
        <v/>
      </c>
      <c r="K2026">
        <f>F2026-MIN(F2026,G2026)-I2026</f>
        <v/>
      </c>
    </row>
    <row r="2027">
      <c r="A2027" s="21">
        <f>IF(Rechner!$E$4&lt;&gt;"ok","",IF(Rechner!$E$5+2025&lt;=Rechner!$B$6,Rechner!$E$5+2025,""))</f>
        <v/>
      </c>
      <c r="B2027">
        <f>IF(A2027="","",LOOKUP(A2027,Basiszins!$A$5:$A$18,Basiszins!$B$5:$B$18))</f>
        <v/>
      </c>
      <c r="C2027">
        <f>IF(A2027="","",B2027+Rechner!$E$7)</f>
        <v/>
      </c>
      <c r="D2027">
        <f>J2026</f>
        <v/>
      </c>
      <c r="E2027">
        <f>IF(A2027="",0,D2027*C2027/100/(DATE(YEAR(A2027)+1,1,1)-DATE(YEAR(A2027),1,1)))</f>
        <v/>
      </c>
      <c r="F2027">
        <f>IF(A2027="",0,SUMIF(Rechner!$A$12:$A$21,A2027,Rechner!$B$12:$B$21))</f>
        <v/>
      </c>
      <c r="G2027">
        <f>H2026+E2027</f>
        <v/>
      </c>
      <c r="H2027">
        <f>G2027-MIN(F2027,G2027)</f>
        <v/>
      </c>
      <c r="I2027">
        <f>MIN(F2027-MIN(F2027,G2027),D2027)</f>
        <v/>
      </c>
      <c r="J2027">
        <f>D2027-I2027</f>
        <v/>
      </c>
      <c r="K2027">
        <f>F2027-MIN(F2027,G2027)-I2027</f>
        <v/>
      </c>
    </row>
    <row r="2028">
      <c r="A2028" s="21">
        <f>IF(Rechner!$E$4&lt;&gt;"ok","",IF(Rechner!$E$5+2026&lt;=Rechner!$B$6,Rechner!$E$5+2026,""))</f>
        <v/>
      </c>
      <c r="B2028">
        <f>IF(A2028="","",LOOKUP(A2028,Basiszins!$A$5:$A$18,Basiszins!$B$5:$B$18))</f>
        <v/>
      </c>
      <c r="C2028">
        <f>IF(A2028="","",B2028+Rechner!$E$7)</f>
        <v/>
      </c>
      <c r="D2028">
        <f>J2027</f>
        <v/>
      </c>
      <c r="E2028">
        <f>IF(A2028="",0,D2028*C2028/100/(DATE(YEAR(A2028)+1,1,1)-DATE(YEAR(A2028),1,1)))</f>
        <v/>
      </c>
      <c r="F2028">
        <f>IF(A2028="",0,SUMIF(Rechner!$A$12:$A$21,A2028,Rechner!$B$12:$B$21))</f>
        <v/>
      </c>
      <c r="G2028">
        <f>H2027+E2028</f>
        <v/>
      </c>
      <c r="H2028">
        <f>G2028-MIN(F2028,G2028)</f>
        <v/>
      </c>
      <c r="I2028">
        <f>MIN(F2028-MIN(F2028,G2028),D2028)</f>
        <v/>
      </c>
      <c r="J2028">
        <f>D2028-I2028</f>
        <v/>
      </c>
      <c r="K2028">
        <f>F2028-MIN(F2028,G2028)-I2028</f>
        <v/>
      </c>
    </row>
    <row r="2029">
      <c r="A2029" s="21">
        <f>IF(Rechner!$E$4&lt;&gt;"ok","",IF(Rechner!$E$5+2027&lt;=Rechner!$B$6,Rechner!$E$5+2027,""))</f>
        <v/>
      </c>
      <c r="B2029">
        <f>IF(A2029="","",LOOKUP(A2029,Basiszins!$A$5:$A$18,Basiszins!$B$5:$B$18))</f>
        <v/>
      </c>
      <c r="C2029">
        <f>IF(A2029="","",B2029+Rechner!$E$7)</f>
        <v/>
      </c>
      <c r="D2029">
        <f>J2028</f>
        <v/>
      </c>
      <c r="E2029">
        <f>IF(A2029="",0,D2029*C2029/100/(DATE(YEAR(A2029)+1,1,1)-DATE(YEAR(A2029),1,1)))</f>
        <v/>
      </c>
      <c r="F2029">
        <f>IF(A2029="",0,SUMIF(Rechner!$A$12:$A$21,A2029,Rechner!$B$12:$B$21))</f>
        <v/>
      </c>
      <c r="G2029">
        <f>H2028+E2029</f>
        <v/>
      </c>
      <c r="H2029">
        <f>G2029-MIN(F2029,G2029)</f>
        <v/>
      </c>
      <c r="I2029">
        <f>MIN(F2029-MIN(F2029,G2029),D2029)</f>
        <v/>
      </c>
      <c r="J2029">
        <f>D2029-I2029</f>
        <v/>
      </c>
      <c r="K2029">
        <f>F2029-MIN(F2029,G2029)-I2029</f>
        <v/>
      </c>
    </row>
    <row r="2030">
      <c r="A2030" s="21">
        <f>IF(Rechner!$E$4&lt;&gt;"ok","",IF(Rechner!$E$5+2028&lt;=Rechner!$B$6,Rechner!$E$5+2028,""))</f>
        <v/>
      </c>
      <c r="B2030">
        <f>IF(A2030="","",LOOKUP(A2030,Basiszins!$A$5:$A$18,Basiszins!$B$5:$B$18))</f>
        <v/>
      </c>
      <c r="C2030">
        <f>IF(A2030="","",B2030+Rechner!$E$7)</f>
        <v/>
      </c>
      <c r="D2030">
        <f>J2029</f>
        <v/>
      </c>
      <c r="E2030">
        <f>IF(A2030="",0,D2030*C2030/100/(DATE(YEAR(A2030)+1,1,1)-DATE(YEAR(A2030),1,1)))</f>
        <v/>
      </c>
      <c r="F2030">
        <f>IF(A2030="",0,SUMIF(Rechner!$A$12:$A$21,A2030,Rechner!$B$12:$B$21))</f>
        <v/>
      </c>
      <c r="G2030">
        <f>H2029+E2030</f>
        <v/>
      </c>
      <c r="H2030">
        <f>G2030-MIN(F2030,G2030)</f>
        <v/>
      </c>
      <c r="I2030">
        <f>MIN(F2030-MIN(F2030,G2030),D2030)</f>
        <v/>
      </c>
      <c r="J2030">
        <f>D2030-I2030</f>
        <v/>
      </c>
      <c r="K2030">
        <f>F2030-MIN(F2030,G2030)-I2030</f>
        <v/>
      </c>
    </row>
    <row r="2031">
      <c r="A2031" s="21">
        <f>IF(Rechner!$E$4&lt;&gt;"ok","",IF(Rechner!$E$5+2029&lt;=Rechner!$B$6,Rechner!$E$5+2029,""))</f>
        <v/>
      </c>
      <c r="B2031">
        <f>IF(A2031="","",LOOKUP(A2031,Basiszins!$A$5:$A$18,Basiszins!$B$5:$B$18))</f>
        <v/>
      </c>
      <c r="C2031">
        <f>IF(A2031="","",B2031+Rechner!$E$7)</f>
        <v/>
      </c>
      <c r="D2031">
        <f>J2030</f>
        <v/>
      </c>
      <c r="E2031">
        <f>IF(A2031="",0,D2031*C2031/100/(DATE(YEAR(A2031)+1,1,1)-DATE(YEAR(A2031),1,1)))</f>
        <v/>
      </c>
      <c r="F2031">
        <f>IF(A2031="",0,SUMIF(Rechner!$A$12:$A$21,A2031,Rechner!$B$12:$B$21))</f>
        <v/>
      </c>
      <c r="G2031">
        <f>H2030+E2031</f>
        <v/>
      </c>
      <c r="H2031">
        <f>G2031-MIN(F2031,G2031)</f>
        <v/>
      </c>
      <c r="I2031">
        <f>MIN(F2031-MIN(F2031,G2031),D2031)</f>
        <v/>
      </c>
      <c r="J2031">
        <f>D2031-I2031</f>
        <v/>
      </c>
      <c r="K2031">
        <f>F2031-MIN(F2031,G2031)-I2031</f>
        <v/>
      </c>
    </row>
    <row r="2032">
      <c r="A2032" s="21">
        <f>IF(Rechner!$E$4&lt;&gt;"ok","",IF(Rechner!$E$5+2030&lt;=Rechner!$B$6,Rechner!$E$5+2030,""))</f>
        <v/>
      </c>
      <c r="B2032">
        <f>IF(A2032="","",LOOKUP(A2032,Basiszins!$A$5:$A$18,Basiszins!$B$5:$B$18))</f>
        <v/>
      </c>
      <c r="C2032">
        <f>IF(A2032="","",B2032+Rechner!$E$7)</f>
        <v/>
      </c>
      <c r="D2032">
        <f>J2031</f>
        <v/>
      </c>
      <c r="E2032">
        <f>IF(A2032="",0,D2032*C2032/100/(DATE(YEAR(A2032)+1,1,1)-DATE(YEAR(A2032),1,1)))</f>
        <v/>
      </c>
      <c r="F2032">
        <f>IF(A2032="",0,SUMIF(Rechner!$A$12:$A$21,A2032,Rechner!$B$12:$B$21))</f>
        <v/>
      </c>
      <c r="G2032">
        <f>H2031+E2032</f>
        <v/>
      </c>
      <c r="H2032">
        <f>G2032-MIN(F2032,G2032)</f>
        <v/>
      </c>
      <c r="I2032">
        <f>MIN(F2032-MIN(F2032,G2032),D2032)</f>
        <v/>
      </c>
      <c r="J2032">
        <f>D2032-I2032</f>
        <v/>
      </c>
      <c r="K2032">
        <f>F2032-MIN(F2032,G2032)-I2032</f>
        <v/>
      </c>
    </row>
    <row r="2033">
      <c r="A2033" s="21">
        <f>IF(Rechner!$E$4&lt;&gt;"ok","",IF(Rechner!$E$5+2031&lt;=Rechner!$B$6,Rechner!$E$5+2031,""))</f>
        <v/>
      </c>
      <c r="B2033">
        <f>IF(A2033="","",LOOKUP(A2033,Basiszins!$A$5:$A$18,Basiszins!$B$5:$B$18))</f>
        <v/>
      </c>
      <c r="C2033">
        <f>IF(A2033="","",B2033+Rechner!$E$7)</f>
        <v/>
      </c>
      <c r="D2033">
        <f>J2032</f>
        <v/>
      </c>
      <c r="E2033">
        <f>IF(A2033="",0,D2033*C2033/100/(DATE(YEAR(A2033)+1,1,1)-DATE(YEAR(A2033),1,1)))</f>
        <v/>
      </c>
      <c r="F2033">
        <f>IF(A2033="",0,SUMIF(Rechner!$A$12:$A$21,A2033,Rechner!$B$12:$B$21))</f>
        <v/>
      </c>
      <c r="G2033">
        <f>H2032+E2033</f>
        <v/>
      </c>
      <c r="H2033">
        <f>G2033-MIN(F2033,G2033)</f>
        <v/>
      </c>
      <c r="I2033">
        <f>MIN(F2033-MIN(F2033,G2033),D2033)</f>
        <v/>
      </c>
      <c r="J2033">
        <f>D2033-I2033</f>
        <v/>
      </c>
      <c r="K2033">
        <f>F2033-MIN(F2033,G2033)-I2033</f>
        <v/>
      </c>
    </row>
    <row r="2034">
      <c r="A2034" s="21">
        <f>IF(Rechner!$E$4&lt;&gt;"ok","",IF(Rechner!$E$5+2032&lt;=Rechner!$B$6,Rechner!$E$5+2032,""))</f>
        <v/>
      </c>
      <c r="B2034">
        <f>IF(A2034="","",LOOKUP(A2034,Basiszins!$A$5:$A$18,Basiszins!$B$5:$B$18))</f>
        <v/>
      </c>
      <c r="C2034">
        <f>IF(A2034="","",B2034+Rechner!$E$7)</f>
        <v/>
      </c>
      <c r="D2034">
        <f>J2033</f>
        <v/>
      </c>
      <c r="E2034">
        <f>IF(A2034="",0,D2034*C2034/100/(DATE(YEAR(A2034)+1,1,1)-DATE(YEAR(A2034),1,1)))</f>
        <v/>
      </c>
      <c r="F2034">
        <f>IF(A2034="",0,SUMIF(Rechner!$A$12:$A$21,A2034,Rechner!$B$12:$B$21))</f>
        <v/>
      </c>
      <c r="G2034">
        <f>H2033+E2034</f>
        <v/>
      </c>
      <c r="H2034">
        <f>G2034-MIN(F2034,G2034)</f>
        <v/>
      </c>
      <c r="I2034">
        <f>MIN(F2034-MIN(F2034,G2034),D2034)</f>
        <v/>
      </c>
      <c r="J2034">
        <f>D2034-I2034</f>
        <v/>
      </c>
      <c r="K2034">
        <f>F2034-MIN(F2034,G2034)-I2034</f>
        <v/>
      </c>
    </row>
    <row r="2035">
      <c r="A2035" s="21">
        <f>IF(Rechner!$E$4&lt;&gt;"ok","",IF(Rechner!$E$5+2033&lt;=Rechner!$B$6,Rechner!$E$5+2033,""))</f>
        <v/>
      </c>
      <c r="B2035">
        <f>IF(A2035="","",LOOKUP(A2035,Basiszins!$A$5:$A$18,Basiszins!$B$5:$B$18))</f>
        <v/>
      </c>
      <c r="C2035">
        <f>IF(A2035="","",B2035+Rechner!$E$7)</f>
        <v/>
      </c>
      <c r="D2035">
        <f>J2034</f>
        <v/>
      </c>
      <c r="E2035">
        <f>IF(A2035="",0,D2035*C2035/100/(DATE(YEAR(A2035)+1,1,1)-DATE(YEAR(A2035),1,1)))</f>
        <v/>
      </c>
      <c r="F2035">
        <f>IF(A2035="",0,SUMIF(Rechner!$A$12:$A$21,A2035,Rechner!$B$12:$B$21))</f>
        <v/>
      </c>
      <c r="G2035">
        <f>H2034+E2035</f>
        <v/>
      </c>
      <c r="H2035">
        <f>G2035-MIN(F2035,G2035)</f>
        <v/>
      </c>
      <c r="I2035">
        <f>MIN(F2035-MIN(F2035,G2035),D2035)</f>
        <v/>
      </c>
      <c r="J2035">
        <f>D2035-I2035</f>
        <v/>
      </c>
      <c r="K2035">
        <f>F2035-MIN(F2035,G2035)-I2035</f>
        <v/>
      </c>
    </row>
    <row r="2036">
      <c r="A2036" s="21">
        <f>IF(Rechner!$E$4&lt;&gt;"ok","",IF(Rechner!$E$5+2034&lt;=Rechner!$B$6,Rechner!$E$5+2034,""))</f>
        <v/>
      </c>
      <c r="B2036">
        <f>IF(A2036="","",LOOKUP(A2036,Basiszins!$A$5:$A$18,Basiszins!$B$5:$B$18))</f>
        <v/>
      </c>
      <c r="C2036">
        <f>IF(A2036="","",B2036+Rechner!$E$7)</f>
        <v/>
      </c>
      <c r="D2036">
        <f>J2035</f>
        <v/>
      </c>
      <c r="E2036">
        <f>IF(A2036="",0,D2036*C2036/100/(DATE(YEAR(A2036)+1,1,1)-DATE(YEAR(A2036),1,1)))</f>
        <v/>
      </c>
      <c r="F2036">
        <f>IF(A2036="",0,SUMIF(Rechner!$A$12:$A$21,A2036,Rechner!$B$12:$B$21))</f>
        <v/>
      </c>
      <c r="G2036">
        <f>H2035+E2036</f>
        <v/>
      </c>
      <c r="H2036">
        <f>G2036-MIN(F2036,G2036)</f>
        <v/>
      </c>
      <c r="I2036">
        <f>MIN(F2036-MIN(F2036,G2036),D2036)</f>
        <v/>
      </c>
      <c r="J2036">
        <f>D2036-I2036</f>
        <v/>
      </c>
      <c r="K2036">
        <f>F2036-MIN(F2036,G2036)-I2036</f>
        <v/>
      </c>
    </row>
    <row r="2037">
      <c r="A2037" s="21">
        <f>IF(Rechner!$E$4&lt;&gt;"ok","",IF(Rechner!$E$5+2035&lt;=Rechner!$B$6,Rechner!$E$5+2035,""))</f>
        <v/>
      </c>
      <c r="B2037">
        <f>IF(A2037="","",LOOKUP(A2037,Basiszins!$A$5:$A$18,Basiszins!$B$5:$B$18))</f>
        <v/>
      </c>
      <c r="C2037">
        <f>IF(A2037="","",B2037+Rechner!$E$7)</f>
        <v/>
      </c>
      <c r="D2037">
        <f>J2036</f>
        <v/>
      </c>
      <c r="E2037">
        <f>IF(A2037="",0,D2037*C2037/100/(DATE(YEAR(A2037)+1,1,1)-DATE(YEAR(A2037),1,1)))</f>
        <v/>
      </c>
      <c r="F2037">
        <f>IF(A2037="",0,SUMIF(Rechner!$A$12:$A$21,A2037,Rechner!$B$12:$B$21))</f>
        <v/>
      </c>
      <c r="G2037">
        <f>H2036+E2037</f>
        <v/>
      </c>
      <c r="H2037">
        <f>G2037-MIN(F2037,G2037)</f>
        <v/>
      </c>
      <c r="I2037">
        <f>MIN(F2037-MIN(F2037,G2037),D2037)</f>
        <v/>
      </c>
      <c r="J2037">
        <f>D2037-I2037</f>
        <v/>
      </c>
      <c r="K2037">
        <f>F2037-MIN(F2037,G2037)-I2037</f>
        <v/>
      </c>
    </row>
    <row r="2038">
      <c r="A2038" s="21">
        <f>IF(Rechner!$E$4&lt;&gt;"ok","",IF(Rechner!$E$5+2036&lt;=Rechner!$B$6,Rechner!$E$5+2036,""))</f>
        <v/>
      </c>
      <c r="B2038">
        <f>IF(A2038="","",LOOKUP(A2038,Basiszins!$A$5:$A$18,Basiszins!$B$5:$B$18))</f>
        <v/>
      </c>
      <c r="C2038">
        <f>IF(A2038="","",B2038+Rechner!$E$7)</f>
        <v/>
      </c>
      <c r="D2038">
        <f>J2037</f>
        <v/>
      </c>
      <c r="E2038">
        <f>IF(A2038="",0,D2038*C2038/100/(DATE(YEAR(A2038)+1,1,1)-DATE(YEAR(A2038),1,1)))</f>
        <v/>
      </c>
      <c r="F2038">
        <f>IF(A2038="",0,SUMIF(Rechner!$A$12:$A$21,A2038,Rechner!$B$12:$B$21))</f>
        <v/>
      </c>
      <c r="G2038">
        <f>H2037+E2038</f>
        <v/>
      </c>
      <c r="H2038">
        <f>G2038-MIN(F2038,G2038)</f>
        <v/>
      </c>
      <c r="I2038">
        <f>MIN(F2038-MIN(F2038,G2038),D2038)</f>
        <v/>
      </c>
      <c r="J2038">
        <f>D2038-I2038</f>
        <v/>
      </c>
      <c r="K2038">
        <f>F2038-MIN(F2038,G2038)-I2038</f>
        <v/>
      </c>
    </row>
    <row r="2039">
      <c r="A2039" s="21">
        <f>IF(Rechner!$E$4&lt;&gt;"ok","",IF(Rechner!$E$5+2037&lt;=Rechner!$B$6,Rechner!$E$5+2037,""))</f>
        <v/>
      </c>
      <c r="B2039">
        <f>IF(A2039="","",LOOKUP(A2039,Basiszins!$A$5:$A$18,Basiszins!$B$5:$B$18))</f>
        <v/>
      </c>
      <c r="C2039">
        <f>IF(A2039="","",B2039+Rechner!$E$7)</f>
        <v/>
      </c>
      <c r="D2039">
        <f>J2038</f>
        <v/>
      </c>
      <c r="E2039">
        <f>IF(A2039="",0,D2039*C2039/100/(DATE(YEAR(A2039)+1,1,1)-DATE(YEAR(A2039),1,1)))</f>
        <v/>
      </c>
      <c r="F2039">
        <f>IF(A2039="",0,SUMIF(Rechner!$A$12:$A$21,A2039,Rechner!$B$12:$B$21))</f>
        <v/>
      </c>
      <c r="G2039">
        <f>H2038+E2039</f>
        <v/>
      </c>
      <c r="H2039">
        <f>G2039-MIN(F2039,G2039)</f>
        <v/>
      </c>
      <c r="I2039">
        <f>MIN(F2039-MIN(F2039,G2039),D2039)</f>
        <v/>
      </c>
      <c r="J2039">
        <f>D2039-I2039</f>
        <v/>
      </c>
      <c r="K2039">
        <f>F2039-MIN(F2039,G2039)-I2039</f>
        <v/>
      </c>
    </row>
    <row r="2040">
      <c r="A2040" s="21">
        <f>IF(Rechner!$E$4&lt;&gt;"ok","",IF(Rechner!$E$5+2038&lt;=Rechner!$B$6,Rechner!$E$5+2038,""))</f>
        <v/>
      </c>
      <c r="B2040">
        <f>IF(A2040="","",LOOKUP(A2040,Basiszins!$A$5:$A$18,Basiszins!$B$5:$B$18))</f>
        <v/>
      </c>
      <c r="C2040">
        <f>IF(A2040="","",B2040+Rechner!$E$7)</f>
        <v/>
      </c>
      <c r="D2040">
        <f>J2039</f>
        <v/>
      </c>
      <c r="E2040">
        <f>IF(A2040="",0,D2040*C2040/100/(DATE(YEAR(A2040)+1,1,1)-DATE(YEAR(A2040),1,1)))</f>
        <v/>
      </c>
      <c r="F2040">
        <f>IF(A2040="",0,SUMIF(Rechner!$A$12:$A$21,A2040,Rechner!$B$12:$B$21))</f>
        <v/>
      </c>
      <c r="G2040">
        <f>H2039+E2040</f>
        <v/>
      </c>
      <c r="H2040">
        <f>G2040-MIN(F2040,G2040)</f>
        <v/>
      </c>
      <c r="I2040">
        <f>MIN(F2040-MIN(F2040,G2040),D2040)</f>
        <v/>
      </c>
      <c r="J2040">
        <f>D2040-I2040</f>
        <v/>
      </c>
      <c r="K2040">
        <f>F2040-MIN(F2040,G2040)-I2040</f>
        <v/>
      </c>
    </row>
    <row r="2041">
      <c r="A2041" s="21">
        <f>IF(Rechner!$E$4&lt;&gt;"ok","",IF(Rechner!$E$5+2039&lt;=Rechner!$B$6,Rechner!$E$5+2039,""))</f>
        <v/>
      </c>
      <c r="B2041">
        <f>IF(A2041="","",LOOKUP(A2041,Basiszins!$A$5:$A$18,Basiszins!$B$5:$B$18))</f>
        <v/>
      </c>
      <c r="C2041">
        <f>IF(A2041="","",B2041+Rechner!$E$7)</f>
        <v/>
      </c>
      <c r="D2041">
        <f>J2040</f>
        <v/>
      </c>
      <c r="E2041">
        <f>IF(A2041="",0,D2041*C2041/100/(DATE(YEAR(A2041)+1,1,1)-DATE(YEAR(A2041),1,1)))</f>
        <v/>
      </c>
      <c r="F2041">
        <f>IF(A2041="",0,SUMIF(Rechner!$A$12:$A$21,A2041,Rechner!$B$12:$B$21))</f>
        <v/>
      </c>
      <c r="G2041">
        <f>H2040+E2041</f>
        <v/>
      </c>
      <c r="H2041">
        <f>G2041-MIN(F2041,G2041)</f>
        <v/>
      </c>
      <c r="I2041">
        <f>MIN(F2041-MIN(F2041,G2041),D2041)</f>
        <v/>
      </c>
      <c r="J2041">
        <f>D2041-I2041</f>
        <v/>
      </c>
      <c r="K2041">
        <f>F2041-MIN(F2041,G2041)-I2041</f>
        <v/>
      </c>
    </row>
    <row r="2042">
      <c r="A2042" s="21">
        <f>IF(Rechner!$E$4&lt;&gt;"ok","",IF(Rechner!$E$5+2040&lt;=Rechner!$B$6,Rechner!$E$5+2040,""))</f>
        <v/>
      </c>
      <c r="B2042">
        <f>IF(A2042="","",LOOKUP(A2042,Basiszins!$A$5:$A$18,Basiszins!$B$5:$B$18))</f>
        <v/>
      </c>
      <c r="C2042">
        <f>IF(A2042="","",B2042+Rechner!$E$7)</f>
        <v/>
      </c>
      <c r="D2042">
        <f>J2041</f>
        <v/>
      </c>
      <c r="E2042">
        <f>IF(A2042="",0,D2042*C2042/100/(DATE(YEAR(A2042)+1,1,1)-DATE(YEAR(A2042),1,1)))</f>
        <v/>
      </c>
      <c r="F2042">
        <f>IF(A2042="",0,SUMIF(Rechner!$A$12:$A$21,A2042,Rechner!$B$12:$B$21))</f>
        <v/>
      </c>
      <c r="G2042">
        <f>H2041+E2042</f>
        <v/>
      </c>
      <c r="H2042">
        <f>G2042-MIN(F2042,G2042)</f>
        <v/>
      </c>
      <c r="I2042">
        <f>MIN(F2042-MIN(F2042,G2042),D2042)</f>
        <v/>
      </c>
      <c r="J2042">
        <f>D2042-I2042</f>
        <v/>
      </c>
      <c r="K2042">
        <f>F2042-MIN(F2042,G2042)-I2042</f>
        <v/>
      </c>
    </row>
    <row r="2043">
      <c r="A2043" s="21">
        <f>IF(Rechner!$E$4&lt;&gt;"ok","",IF(Rechner!$E$5+2041&lt;=Rechner!$B$6,Rechner!$E$5+2041,""))</f>
        <v/>
      </c>
      <c r="B2043">
        <f>IF(A2043="","",LOOKUP(A2043,Basiszins!$A$5:$A$18,Basiszins!$B$5:$B$18))</f>
        <v/>
      </c>
      <c r="C2043">
        <f>IF(A2043="","",B2043+Rechner!$E$7)</f>
        <v/>
      </c>
      <c r="D2043">
        <f>J2042</f>
        <v/>
      </c>
      <c r="E2043">
        <f>IF(A2043="",0,D2043*C2043/100/(DATE(YEAR(A2043)+1,1,1)-DATE(YEAR(A2043),1,1)))</f>
        <v/>
      </c>
      <c r="F2043">
        <f>IF(A2043="",0,SUMIF(Rechner!$A$12:$A$21,A2043,Rechner!$B$12:$B$21))</f>
        <v/>
      </c>
      <c r="G2043">
        <f>H2042+E2043</f>
        <v/>
      </c>
      <c r="H2043">
        <f>G2043-MIN(F2043,G2043)</f>
        <v/>
      </c>
      <c r="I2043">
        <f>MIN(F2043-MIN(F2043,G2043),D2043)</f>
        <v/>
      </c>
      <c r="J2043">
        <f>D2043-I2043</f>
        <v/>
      </c>
      <c r="K2043">
        <f>F2043-MIN(F2043,G2043)-I2043</f>
        <v/>
      </c>
    </row>
    <row r="2044">
      <c r="A2044" s="21">
        <f>IF(Rechner!$E$4&lt;&gt;"ok","",IF(Rechner!$E$5+2042&lt;=Rechner!$B$6,Rechner!$E$5+2042,""))</f>
        <v/>
      </c>
      <c r="B2044">
        <f>IF(A2044="","",LOOKUP(A2044,Basiszins!$A$5:$A$18,Basiszins!$B$5:$B$18))</f>
        <v/>
      </c>
      <c r="C2044">
        <f>IF(A2044="","",B2044+Rechner!$E$7)</f>
        <v/>
      </c>
      <c r="D2044">
        <f>J2043</f>
        <v/>
      </c>
      <c r="E2044">
        <f>IF(A2044="",0,D2044*C2044/100/(DATE(YEAR(A2044)+1,1,1)-DATE(YEAR(A2044),1,1)))</f>
        <v/>
      </c>
      <c r="F2044">
        <f>IF(A2044="",0,SUMIF(Rechner!$A$12:$A$21,A2044,Rechner!$B$12:$B$21))</f>
        <v/>
      </c>
      <c r="G2044">
        <f>H2043+E2044</f>
        <v/>
      </c>
      <c r="H2044">
        <f>G2044-MIN(F2044,G2044)</f>
        <v/>
      </c>
      <c r="I2044">
        <f>MIN(F2044-MIN(F2044,G2044),D2044)</f>
        <v/>
      </c>
      <c r="J2044">
        <f>D2044-I2044</f>
        <v/>
      </c>
      <c r="K2044">
        <f>F2044-MIN(F2044,G2044)-I2044</f>
        <v/>
      </c>
    </row>
    <row r="2045">
      <c r="A2045" s="21">
        <f>IF(Rechner!$E$4&lt;&gt;"ok","",IF(Rechner!$E$5+2043&lt;=Rechner!$B$6,Rechner!$E$5+2043,""))</f>
        <v/>
      </c>
      <c r="B2045">
        <f>IF(A2045="","",LOOKUP(A2045,Basiszins!$A$5:$A$18,Basiszins!$B$5:$B$18))</f>
        <v/>
      </c>
      <c r="C2045">
        <f>IF(A2045="","",B2045+Rechner!$E$7)</f>
        <v/>
      </c>
      <c r="D2045">
        <f>J2044</f>
        <v/>
      </c>
      <c r="E2045">
        <f>IF(A2045="",0,D2045*C2045/100/(DATE(YEAR(A2045)+1,1,1)-DATE(YEAR(A2045),1,1)))</f>
        <v/>
      </c>
      <c r="F2045">
        <f>IF(A2045="",0,SUMIF(Rechner!$A$12:$A$21,A2045,Rechner!$B$12:$B$21))</f>
        <v/>
      </c>
      <c r="G2045">
        <f>H2044+E2045</f>
        <v/>
      </c>
      <c r="H2045">
        <f>G2045-MIN(F2045,G2045)</f>
        <v/>
      </c>
      <c r="I2045">
        <f>MIN(F2045-MIN(F2045,G2045),D2045)</f>
        <v/>
      </c>
      <c r="J2045">
        <f>D2045-I2045</f>
        <v/>
      </c>
      <c r="K2045">
        <f>F2045-MIN(F2045,G2045)-I2045</f>
        <v/>
      </c>
    </row>
    <row r="2046">
      <c r="A2046" s="21">
        <f>IF(Rechner!$E$4&lt;&gt;"ok","",IF(Rechner!$E$5+2044&lt;=Rechner!$B$6,Rechner!$E$5+2044,""))</f>
        <v/>
      </c>
      <c r="B2046">
        <f>IF(A2046="","",LOOKUP(A2046,Basiszins!$A$5:$A$18,Basiszins!$B$5:$B$18))</f>
        <v/>
      </c>
      <c r="C2046">
        <f>IF(A2046="","",B2046+Rechner!$E$7)</f>
        <v/>
      </c>
      <c r="D2046">
        <f>J2045</f>
        <v/>
      </c>
      <c r="E2046">
        <f>IF(A2046="",0,D2046*C2046/100/(DATE(YEAR(A2046)+1,1,1)-DATE(YEAR(A2046),1,1)))</f>
        <v/>
      </c>
      <c r="F2046">
        <f>IF(A2046="",0,SUMIF(Rechner!$A$12:$A$21,A2046,Rechner!$B$12:$B$21))</f>
        <v/>
      </c>
      <c r="G2046">
        <f>H2045+E2046</f>
        <v/>
      </c>
      <c r="H2046">
        <f>G2046-MIN(F2046,G2046)</f>
        <v/>
      </c>
      <c r="I2046">
        <f>MIN(F2046-MIN(F2046,G2046),D2046)</f>
        <v/>
      </c>
      <c r="J2046">
        <f>D2046-I2046</f>
        <v/>
      </c>
      <c r="K2046">
        <f>F2046-MIN(F2046,G2046)-I2046</f>
        <v/>
      </c>
    </row>
    <row r="2047">
      <c r="A2047" s="21">
        <f>IF(Rechner!$E$4&lt;&gt;"ok","",IF(Rechner!$E$5+2045&lt;=Rechner!$B$6,Rechner!$E$5+2045,""))</f>
        <v/>
      </c>
      <c r="B2047">
        <f>IF(A2047="","",LOOKUP(A2047,Basiszins!$A$5:$A$18,Basiszins!$B$5:$B$18))</f>
        <v/>
      </c>
      <c r="C2047">
        <f>IF(A2047="","",B2047+Rechner!$E$7)</f>
        <v/>
      </c>
      <c r="D2047">
        <f>J2046</f>
        <v/>
      </c>
      <c r="E2047">
        <f>IF(A2047="",0,D2047*C2047/100/(DATE(YEAR(A2047)+1,1,1)-DATE(YEAR(A2047),1,1)))</f>
        <v/>
      </c>
      <c r="F2047">
        <f>IF(A2047="",0,SUMIF(Rechner!$A$12:$A$21,A2047,Rechner!$B$12:$B$21))</f>
        <v/>
      </c>
      <c r="G2047">
        <f>H2046+E2047</f>
        <v/>
      </c>
      <c r="H2047">
        <f>G2047-MIN(F2047,G2047)</f>
        <v/>
      </c>
      <c r="I2047">
        <f>MIN(F2047-MIN(F2047,G2047),D2047)</f>
        <v/>
      </c>
      <c r="J2047">
        <f>D2047-I2047</f>
        <v/>
      </c>
      <c r="K2047">
        <f>F2047-MIN(F2047,G2047)-I2047</f>
        <v/>
      </c>
    </row>
    <row r="2048">
      <c r="A2048" s="21">
        <f>IF(Rechner!$E$4&lt;&gt;"ok","",IF(Rechner!$E$5+2046&lt;=Rechner!$B$6,Rechner!$E$5+2046,""))</f>
        <v/>
      </c>
      <c r="B2048">
        <f>IF(A2048="","",LOOKUP(A2048,Basiszins!$A$5:$A$18,Basiszins!$B$5:$B$18))</f>
        <v/>
      </c>
      <c r="C2048">
        <f>IF(A2048="","",B2048+Rechner!$E$7)</f>
        <v/>
      </c>
      <c r="D2048">
        <f>J2047</f>
        <v/>
      </c>
      <c r="E2048">
        <f>IF(A2048="",0,D2048*C2048/100/(DATE(YEAR(A2048)+1,1,1)-DATE(YEAR(A2048),1,1)))</f>
        <v/>
      </c>
      <c r="F2048">
        <f>IF(A2048="",0,SUMIF(Rechner!$A$12:$A$21,A2048,Rechner!$B$12:$B$21))</f>
        <v/>
      </c>
      <c r="G2048">
        <f>H2047+E2048</f>
        <v/>
      </c>
      <c r="H2048">
        <f>G2048-MIN(F2048,G2048)</f>
        <v/>
      </c>
      <c r="I2048">
        <f>MIN(F2048-MIN(F2048,G2048),D2048)</f>
        <v/>
      </c>
      <c r="J2048">
        <f>D2048-I2048</f>
        <v/>
      </c>
      <c r="K2048">
        <f>F2048-MIN(F2048,G2048)-I2048</f>
        <v/>
      </c>
    </row>
    <row r="2049">
      <c r="A2049" s="21">
        <f>IF(Rechner!$E$4&lt;&gt;"ok","",IF(Rechner!$E$5+2047&lt;=Rechner!$B$6,Rechner!$E$5+2047,""))</f>
        <v/>
      </c>
      <c r="B2049">
        <f>IF(A2049="","",LOOKUP(A2049,Basiszins!$A$5:$A$18,Basiszins!$B$5:$B$18))</f>
        <v/>
      </c>
      <c r="C2049">
        <f>IF(A2049="","",B2049+Rechner!$E$7)</f>
        <v/>
      </c>
      <c r="D2049">
        <f>J2048</f>
        <v/>
      </c>
      <c r="E2049">
        <f>IF(A2049="",0,D2049*C2049/100/(DATE(YEAR(A2049)+1,1,1)-DATE(YEAR(A2049),1,1)))</f>
        <v/>
      </c>
      <c r="F2049">
        <f>IF(A2049="",0,SUMIF(Rechner!$A$12:$A$21,A2049,Rechner!$B$12:$B$21))</f>
        <v/>
      </c>
      <c r="G2049">
        <f>H2048+E2049</f>
        <v/>
      </c>
      <c r="H2049">
        <f>G2049-MIN(F2049,G2049)</f>
        <v/>
      </c>
      <c r="I2049">
        <f>MIN(F2049-MIN(F2049,G2049),D2049)</f>
        <v/>
      </c>
      <c r="J2049">
        <f>D2049-I2049</f>
        <v/>
      </c>
      <c r="K2049">
        <f>F2049-MIN(F2049,G2049)-I2049</f>
        <v/>
      </c>
    </row>
    <row r="2050">
      <c r="A2050" s="21">
        <f>IF(Rechner!$E$4&lt;&gt;"ok","",IF(Rechner!$E$5+2048&lt;=Rechner!$B$6,Rechner!$E$5+2048,""))</f>
        <v/>
      </c>
      <c r="B2050">
        <f>IF(A2050="","",LOOKUP(A2050,Basiszins!$A$5:$A$18,Basiszins!$B$5:$B$18))</f>
        <v/>
      </c>
      <c r="C2050">
        <f>IF(A2050="","",B2050+Rechner!$E$7)</f>
        <v/>
      </c>
      <c r="D2050">
        <f>J2049</f>
        <v/>
      </c>
      <c r="E2050">
        <f>IF(A2050="",0,D2050*C2050/100/(DATE(YEAR(A2050)+1,1,1)-DATE(YEAR(A2050),1,1)))</f>
        <v/>
      </c>
      <c r="F2050">
        <f>IF(A2050="",0,SUMIF(Rechner!$A$12:$A$21,A2050,Rechner!$B$12:$B$21))</f>
        <v/>
      </c>
      <c r="G2050">
        <f>H2049+E2050</f>
        <v/>
      </c>
      <c r="H2050">
        <f>G2050-MIN(F2050,G2050)</f>
        <v/>
      </c>
      <c r="I2050">
        <f>MIN(F2050-MIN(F2050,G2050),D2050)</f>
        <v/>
      </c>
      <c r="J2050">
        <f>D2050-I2050</f>
        <v/>
      </c>
      <c r="K2050">
        <f>F2050-MIN(F2050,G2050)-I2050</f>
        <v/>
      </c>
    </row>
    <row r="2051">
      <c r="A2051" s="21">
        <f>IF(Rechner!$E$4&lt;&gt;"ok","",IF(Rechner!$E$5+2049&lt;=Rechner!$B$6,Rechner!$E$5+2049,""))</f>
        <v/>
      </c>
      <c r="B2051">
        <f>IF(A2051="","",LOOKUP(A2051,Basiszins!$A$5:$A$18,Basiszins!$B$5:$B$18))</f>
        <v/>
      </c>
      <c r="C2051">
        <f>IF(A2051="","",B2051+Rechner!$E$7)</f>
        <v/>
      </c>
      <c r="D2051">
        <f>J2050</f>
        <v/>
      </c>
      <c r="E2051">
        <f>IF(A2051="",0,D2051*C2051/100/(DATE(YEAR(A2051)+1,1,1)-DATE(YEAR(A2051),1,1)))</f>
        <v/>
      </c>
      <c r="F2051">
        <f>IF(A2051="",0,SUMIF(Rechner!$A$12:$A$21,A2051,Rechner!$B$12:$B$21))</f>
        <v/>
      </c>
      <c r="G2051">
        <f>H2050+E2051</f>
        <v/>
      </c>
      <c r="H2051">
        <f>G2051-MIN(F2051,G2051)</f>
        <v/>
      </c>
      <c r="I2051">
        <f>MIN(F2051-MIN(F2051,G2051),D2051)</f>
        <v/>
      </c>
      <c r="J2051">
        <f>D2051-I2051</f>
        <v/>
      </c>
      <c r="K2051">
        <f>F2051-MIN(F2051,G2051)-I2051</f>
        <v/>
      </c>
    </row>
    <row r="2052">
      <c r="A2052" s="21">
        <f>IF(Rechner!$E$4&lt;&gt;"ok","",IF(Rechner!$E$5+2050&lt;=Rechner!$B$6,Rechner!$E$5+2050,""))</f>
        <v/>
      </c>
      <c r="B2052">
        <f>IF(A2052="","",LOOKUP(A2052,Basiszins!$A$5:$A$18,Basiszins!$B$5:$B$18))</f>
        <v/>
      </c>
      <c r="C2052">
        <f>IF(A2052="","",B2052+Rechner!$E$7)</f>
        <v/>
      </c>
      <c r="D2052">
        <f>J2051</f>
        <v/>
      </c>
      <c r="E2052">
        <f>IF(A2052="",0,D2052*C2052/100/(DATE(YEAR(A2052)+1,1,1)-DATE(YEAR(A2052),1,1)))</f>
        <v/>
      </c>
      <c r="F2052">
        <f>IF(A2052="",0,SUMIF(Rechner!$A$12:$A$21,A2052,Rechner!$B$12:$B$21))</f>
        <v/>
      </c>
      <c r="G2052">
        <f>H2051+E2052</f>
        <v/>
      </c>
      <c r="H2052">
        <f>G2052-MIN(F2052,G2052)</f>
        <v/>
      </c>
      <c r="I2052">
        <f>MIN(F2052-MIN(F2052,G2052),D2052)</f>
        <v/>
      </c>
      <c r="J2052">
        <f>D2052-I2052</f>
        <v/>
      </c>
      <c r="K2052">
        <f>F2052-MIN(F2052,G2052)-I2052</f>
        <v/>
      </c>
    </row>
    <row r="2053">
      <c r="A2053" s="21">
        <f>IF(Rechner!$E$4&lt;&gt;"ok","",IF(Rechner!$E$5+2051&lt;=Rechner!$B$6,Rechner!$E$5+2051,""))</f>
        <v/>
      </c>
      <c r="B2053">
        <f>IF(A2053="","",LOOKUP(A2053,Basiszins!$A$5:$A$18,Basiszins!$B$5:$B$18))</f>
        <v/>
      </c>
      <c r="C2053">
        <f>IF(A2053="","",B2053+Rechner!$E$7)</f>
        <v/>
      </c>
      <c r="D2053">
        <f>J2052</f>
        <v/>
      </c>
      <c r="E2053">
        <f>IF(A2053="",0,D2053*C2053/100/(DATE(YEAR(A2053)+1,1,1)-DATE(YEAR(A2053),1,1)))</f>
        <v/>
      </c>
      <c r="F2053">
        <f>IF(A2053="",0,SUMIF(Rechner!$A$12:$A$21,A2053,Rechner!$B$12:$B$21))</f>
        <v/>
      </c>
      <c r="G2053">
        <f>H2052+E2053</f>
        <v/>
      </c>
      <c r="H2053">
        <f>G2053-MIN(F2053,G2053)</f>
        <v/>
      </c>
      <c r="I2053">
        <f>MIN(F2053-MIN(F2053,G2053),D2053)</f>
        <v/>
      </c>
      <c r="J2053">
        <f>D2053-I2053</f>
        <v/>
      </c>
      <c r="K2053">
        <f>F2053-MIN(F2053,G2053)-I2053</f>
        <v/>
      </c>
    </row>
    <row r="2054">
      <c r="A2054" s="21">
        <f>IF(Rechner!$E$4&lt;&gt;"ok","",IF(Rechner!$E$5+2052&lt;=Rechner!$B$6,Rechner!$E$5+2052,""))</f>
        <v/>
      </c>
      <c r="B2054">
        <f>IF(A2054="","",LOOKUP(A2054,Basiszins!$A$5:$A$18,Basiszins!$B$5:$B$18))</f>
        <v/>
      </c>
      <c r="C2054">
        <f>IF(A2054="","",B2054+Rechner!$E$7)</f>
        <v/>
      </c>
      <c r="D2054">
        <f>J2053</f>
        <v/>
      </c>
      <c r="E2054">
        <f>IF(A2054="",0,D2054*C2054/100/(DATE(YEAR(A2054)+1,1,1)-DATE(YEAR(A2054),1,1)))</f>
        <v/>
      </c>
      <c r="F2054">
        <f>IF(A2054="",0,SUMIF(Rechner!$A$12:$A$21,A2054,Rechner!$B$12:$B$21))</f>
        <v/>
      </c>
      <c r="G2054">
        <f>H2053+E2054</f>
        <v/>
      </c>
      <c r="H2054">
        <f>G2054-MIN(F2054,G2054)</f>
        <v/>
      </c>
      <c r="I2054">
        <f>MIN(F2054-MIN(F2054,G2054),D2054)</f>
        <v/>
      </c>
      <c r="J2054">
        <f>D2054-I2054</f>
        <v/>
      </c>
      <c r="K2054">
        <f>F2054-MIN(F2054,G2054)-I2054</f>
        <v/>
      </c>
    </row>
    <row r="2055">
      <c r="A2055" s="21">
        <f>IF(Rechner!$E$4&lt;&gt;"ok","",IF(Rechner!$E$5+2053&lt;=Rechner!$B$6,Rechner!$E$5+2053,""))</f>
        <v/>
      </c>
      <c r="B2055">
        <f>IF(A2055="","",LOOKUP(A2055,Basiszins!$A$5:$A$18,Basiszins!$B$5:$B$18))</f>
        <v/>
      </c>
      <c r="C2055">
        <f>IF(A2055="","",B2055+Rechner!$E$7)</f>
        <v/>
      </c>
      <c r="D2055">
        <f>J2054</f>
        <v/>
      </c>
      <c r="E2055">
        <f>IF(A2055="",0,D2055*C2055/100/(DATE(YEAR(A2055)+1,1,1)-DATE(YEAR(A2055),1,1)))</f>
        <v/>
      </c>
      <c r="F2055">
        <f>IF(A2055="",0,SUMIF(Rechner!$A$12:$A$21,A2055,Rechner!$B$12:$B$21))</f>
        <v/>
      </c>
      <c r="G2055">
        <f>H2054+E2055</f>
        <v/>
      </c>
      <c r="H2055">
        <f>G2055-MIN(F2055,G2055)</f>
        <v/>
      </c>
      <c r="I2055">
        <f>MIN(F2055-MIN(F2055,G2055),D2055)</f>
        <v/>
      </c>
      <c r="J2055">
        <f>D2055-I2055</f>
        <v/>
      </c>
      <c r="K2055">
        <f>F2055-MIN(F2055,G2055)-I2055</f>
        <v/>
      </c>
    </row>
    <row r="2056">
      <c r="A2056" s="21">
        <f>IF(Rechner!$E$4&lt;&gt;"ok","",IF(Rechner!$E$5+2054&lt;=Rechner!$B$6,Rechner!$E$5+2054,""))</f>
        <v/>
      </c>
      <c r="B2056">
        <f>IF(A2056="","",LOOKUP(A2056,Basiszins!$A$5:$A$18,Basiszins!$B$5:$B$18))</f>
        <v/>
      </c>
      <c r="C2056">
        <f>IF(A2056="","",B2056+Rechner!$E$7)</f>
        <v/>
      </c>
      <c r="D2056">
        <f>J2055</f>
        <v/>
      </c>
      <c r="E2056">
        <f>IF(A2056="",0,D2056*C2056/100/(DATE(YEAR(A2056)+1,1,1)-DATE(YEAR(A2056),1,1)))</f>
        <v/>
      </c>
      <c r="F2056">
        <f>IF(A2056="",0,SUMIF(Rechner!$A$12:$A$21,A2056,Rechner!$B$12:$B$21))</f>
        <v/>
      </c>
      <c r="G2056">
        <f>H2055+E2056</f>
        <v/>
      </c>
      <c r="H2056">
        <f>G2056-MIN(F2056,G2056)</f>
        <v/>
      </c>
      <c r="I2056">
        <f>MIN(F2056-MIN(F2056,G2056),D2056)</f>
        <v/>
      </c>
      <c r="J2056">
        <f>D2056-I2056</f>
        <v/>
      </c>
      <c r="K2056">
        <f>F2056-MIN(F2056,G2056)-I2056</f>
        <v/>
      </c>
    </row>
    <row r="2057">
      <c r="A2057" s="21">
        <f>IF(Rechner!$E$4&lt;&gt;"ok","",IF(Rechner!$E$5+2055&lt;=Rechner!$B$6,Rechner!$E$5+2055,""))</f>
        <v/>
      </c>
      <c r="B2057">
        <f>IF(A2057="","",LOOKUP(A2057,Basiszins!$A$5:$A$18,Basiszins!$B$5:$B$18))</f>
        <v/>
      </c>
      <c r="C2057">
        <f>IF(A2057="","",B2057+Rechner!$E$7)</f>
        <v/>
      </c>
      <c r="D2057">
        <f>J2056</f>
        <v/>
      </c>
      <c r="E2057">
        <f>IF(A2057="",0,D2057*C2057/100/(DATE(YEAR(A2057)+1,1,1)-DATE(YEAR(A2057),1,1)))</f>
        <v/>
      </c>
      <c r="F2057">
        <f>IF(A2057="",0,SUMIF(Rechner!$A$12:$A$21,A2057,Rechner!$B$12:$B$21))</f>
        <v/>
      </c>
      <c r="G2057">
        <f>H2056+E2057</f>
        <v/>
      </c>
      <c r="H2057">
        <f>G2057-MIN(F2057,G2057)</f>
        <v/>
      </c>
      <c r="I2057">
        <f>MIN(F2057-MIN(F2057,G2057),D2057)</f>
        <v/>
      </c>
      <c r="J2057">
        <f>D2057-I2057</f>
        <v/>
      </c>
      <c r="K2057">
        <f>F2057-MIN(F2057,G2057)-I2057</f>
        <v/>
      </c>
    </row>
    <row r="2058">
      <c r="A2058" s="21">
        <f>IF(Rechner!$E$4&lt;&gt;"ok","",IF(Rechner!$E$5+2056&lt;=Rechner!$B$6,Rechner!$E$5+2056,""))</f>
        <v/>
      </c>
      <c r="B2058">
        <f>IF(A2058="","",LOOKUP(A2058,Basiszins!$A$5:$A$18,Basiszins!$B$5:$B$18))</f>
        <v/>
      </c>
      <c r="C2058">
        <f>IF(A2058="","",B2058+Rechner!$E$7)</f>
        <v/>
      </c>
      <c r="D2058">
        <f>J2057</f>
        <v/>
      </c>
      <c r="E2058">
        <f>IF(A2058="",0,D2058*C2058/100/(DATE(YEAR(A2058)+1,1,1)-DATE(YEAR(A2058),1,1)))</f>
        <v/>
      </c>
      <c r="F2058">
        <f>IF(A2058="",0,SUMIF(Rechner!$A$12:$A$21,A2058,Rechner!$B$12:$B$21))</f>
        <v/>
      </c>
      <c r="G2058">
        <f>H2057+E2058</f>
        <v/>
      </c>
      <c r="H2058">
        <f>G2058-MIN(F2058,G2058)</f>
        <v/>
      </c>
      <c r="I2058">
        <f>MIN(F2058-MIN(F2058,G2058),D2058)</f>
        <v/>
      </c>
      <c r="J2058">
        <f>D2058-I2058</f>
        <v/>
      </c>
      <c r="K2058">
        <f>F2058-MIN(F2058,G2058)-I2058</f>
        <v/>
      </c>
    </row>
    <row r="2059">
      <c r="A2059" s="21">
        <f>IF(Rechner!$E$4&lt;&gt;"ok","",IF(Rechner!$E$5+2057&lt;=Rechner!$B$6,Rechner!$E$5+2057,""))</f>
        <v/>
      </c>
      <c r="B2059">
        <f>IF(A2059="","",LOOKUP(A2059,Basiszins!$A$5:$A$18,Basiszins!$B$5:$B$18))</f>
        <v/>
      </c>
      <c r="C2059">
        <f>IF(A2059="","",B2059+Rechner!$E$7)</f>
        <v/>
      </c>
      <c r="D2059">
        <f>J2058</f>
        <v/>
      </c>
      <c r="E2059">
        <f>IF(A2059="",0,D2059*C2059/100/(DATE(YEAR(A2059)+1,1,1)-DATE(YEAR(A2059),1,1)))</f>
        <v/>
      </c>
      <c r="F2059">
        <f>IF(A2059="",0,SUMIF(Rechner!$A$12:$A$21,A2059,Rechner!$B$12:$B$21))</f>
        <v/>
      </c>
      <c r="G2059">
        <f>H2058+E2059</f>
        <v/>
      </c>
      <c r="H2059">
        <f>G2059-MIN(F2059,G2059)</f>
        <v/>
      </c>
      <c r="I2059">
        <f>MIN(F2059-MIN(F2059,G2059),D2059)</f>
        <v/>
      </c>
      <c r="J2059">
        <f>D2059-I2059</f>
        <v/>
      </c>
      <c r="K2059">
        <f>F2059-MIN(F2059,G2059)-I2059</f>
        <v/>
      </c>
    </row>
    <row r="2060">
      <c r="A2060" s="21">
        <f>IF(Rechner!$E$4&lt;&gt;"ok","",IF(Rechner!$E$5+2058&lt;=Rechner!$B$6,Rechner!$E$5+2058,""))</f>
        <v/>
      </c>
      <c r="B2060">
        <f>IF(A2060="","",LOOKUP(A2060,Basiszins!$A$5:$A$18,Basiszins!$B$5:$B$18))</f>
        <v/>
      </c>
      <c r="C2060">
        <f>IF(A2060="","",B2060+Rechner!$E$7)</f>
        <v/>
      </c>
      <c r="D2060">
        <f>J2059</f>
        <v/>
      </c>
      <c r="E2060">
        <f>IF(A2060="",0,D2060*C2060/100/(DATE(YEAR(A2060)+1,1,1)-DATE(YEAR(A2060),1,1)))</f>
        <v/>
      </c>
      <c r="F2060">
        <f>IF(A2060="",0,SUMIF(Rechner!$A$12:$A$21,A2060,Rechner!$B$12:$B$21))</f>
        <v/>
      </c>
      <c r="G2060">
        <f>H2059+E2060</f>
        <v/>
      </c>
      <c r="H2060">
        <f>G2060-MIN(F2060,G2060)</f>
        <v/>
      </c>
      <c r="I2060">
        <f>MIN(F2060-MIN(F2060,G2060),D2060)</f>
        <v/>
      </c>
      <c r="J2060">
        <f>D2060-I2060</f>
        <v/>
      </c>
      <c r="K2060">
        <f>F2060-MIN(F2060,G2060)-I2060</f>
        <v/>
      </c>
    </row>
    <row r="2061">
      <c r="A2061" s="21">
        <f>IF(Rechner!$E$4&lt;&gt;"ok","",IF(Rechner!$E$5+2059&lt;=Rechner!$B$6,Rechner!$E$5+2059,""))</f>
        <v/>
      </c>
      <c r="B2061">
        <f>IF(A2061="","",LOOKUP(A2061,Basiszins!$A$5:$A$18,Basiszins!$B$5:$B$18))</f>
        <v/>
      </c>
      <c r="C2061">
        <f>IF(A2061="","",B2061+Rechner!$E$7)</f>
        <v/>
      </c>
      <c r="D2061">
        <f>J2060</f>
        <v/>
      </c>
      <c r="E2061">
        <f>IF(A2061="",0,D2061*C2061/100/(DATE(YEAR(A2061)+1,1,1)-DATE(YEAR(A2061),1,1)))</f>
        <v/>
      </c>
      <c r="F2061">
        <f>IF(A2061="",0,SUMIF(Rechner!$A$12:$A$21,A2061,Rechner!$B$12:$B$21))</f>
        <v/>
      </c>
      <c r="G2061">
        <f>H2060+E2061</f>
        <v/>
      </c>
      <c r="H2061">
        <f>G2061-MIN(F2061,G2061)</f>
        <v/>
      </c>
      <c r="I2061">
        <f>MIN(F2061-MIN(F2061,G2061),D2061)</f>
        <v/>
      </c>
      <c r="J2061">
        <f>D2061-I2061</f>
        <v/>
      </c>
      <c r="K2061">
        <f>F2061-MIN(F2061,G2061)-I2061</f>
        <v/>
      </c>
    </row>
    <row r="2062">
      <c r="A2062" s="21">
        <f>IF(Rechner!$E$4&lt;&gt;"ok","",IF(Rechner!$E$5+2060&lt;=Rechner!$B$6,Rechner!$E$5+2060,""))</f>
        <v/>
      </c>
      <c r="B2062">
        <f>IF(A2062="","",LOOKUP(A2062,Basiszins!$A$5:$A$18,Basiszins!$B$5:$B$18))</f>
        <v/>
      </c>
      <c r="C2062">
        <f>IF(A2062="","",B2062+Rechner!$E$7)</f>
        <v/>
      </c>
      <c r="D2062">
        <f>J2061</f>
        <v/>
      </c>
      <c r="E2062">
        <f>IF(A2062="",0,D2062*C2062/100/(DATE(YEAR(A2062)+1,1,1)-DATE(YEAR(A2062),1,1)))</f>
        <v/>
      </c>
      <c r="F2062">
        <f>IF(A2062="",0,SUMIF(Rechner!$A$12:$A$21,A2062,Rechner!$B$12:$B$21))</f>
        <v/>
      </c>
      <c r="G2062">
        <f>H2061+E2062</f>
        <v/>
      </c>
      <c r="H2062">
        <f>G2062-MIN(F2062,G2062)</f>
        <v/>
      </c>
      <c r="I2062">
        <f>MIN(F2062-MIN(F2062,G2062),D2062)</f>
        <v/>
      </c>
      <c r="J2062">
        <f>D2062-I2062</f>
        <v/>
      </c>
      <c r="K2062">
        <f>F2062-MIN(F2062,G2062)-I2062</f>
        <v/>
      </c>
    </row>
    <row r="2063">
      <c r="A2063" s="21">
        <f>IF(Rechner!$E$4&lt;&gt;"ok","",IF(Rechner!$E$5+2061&lt;=Rechner!$B$6,Rechner!$E$5+2061,""))</f>
        <v/>
      </c>
      <c r="B2063">
        <f>IF(A2063="","",LOOKUP(A2063,Basiszins!$A$5:$A$18,Basiszins!$B$5:$B$18))</f>
        <v/>
      </c>
      <c r="C2063">
        <f>IF(A2063="","",B2063+Rechner!$E$7)</f>
        <v/>
      </c>
      <c r="D2063">
        <f>J2062</f>
        <v/>
      </c>
      <c r="E2063">
        <f>IF(A2063="",0,D2063*C2063/100/(DATE(YEAR(A2063)+1,1,1)-DATE(YEAR(A2063),1,1)))</f>
        <v/>
      </c>
      <c r="F2063">
        <f>IF(A2063="",0,SUMIF(Rechner!$A$12:$A$21,A2063,Rechner!$B$12:$B$21))</f>
        <v/>
      </c>
      <c r="G2063">
        <f>H2062+E2063</f>
        <v/>
      </c>
      <c r="H2063">
        <f>G2063-MIN(F2063,G2063)</f>
        <v/>
      </c>
      <c r="I2063">
        <f>MIN(F2063-MIN(F2063,G2063),D2063)</f>
        <v/>
      </c>
      <c r="J2063">
        <f>D2063-I2063</f>
        <v/>
      </c>
      <c r="K2063">
        <f>F2063-MIN(F2063,G2063)-I2063</f>
        <v/>
      </c>
    </row>
    <row r="2064">
      <c r="A2064" s="21">
        <f>IF(Rechner!$E$4&lt;&gt;"ok","",IF(Rechner!$E$5+2062&lt;=Rechner!$B$6,Rechner!$E$5+2062,""))</f>
        <v/>
      </c>
      <c r="B2064">
        <f>IF(A2064="","",LOOKUP(A2064,Basiszins!$A$5:$A$18,Basiszins!$B$5:$B$18))</f>
        <v/>
      </c>
      <c r="C2064">
        <f>IF(A2064="","",B2064+Rechner!$E$7)</f>
        <v/>
      </c>
      <c r="D2064">
        <f>J2063</f>
        <v/>
      </c>
      <c r="E2064">
        <f>IF(A2064="",0,D2064*C2064/100/(DATE(YEAR(A2064)+1,1,1)-DATE(YEAR(A2064),1,1)))</f>
        <v/>
      </c>
      <c r="F2064">
        <f>IF(A2064="",0,SUMIF(Rechner!$A$12:$A$21,A2064,Rechner!$B$12:$B$21))</f>
        <v/>
      </c>
      <c r="G2064">
        <f>H2063+E2064</f>
        <v/>
      </c>
      <c r="H2064">
        <f>G2064-MIN(F2064,G2064)</f>
        <v/>
      </c>
      <c r="I2064">
        <f>MIN(F2064-MIN(F2064,G2064),D2064)</f>
        <v/>
      </c>
      <c r="J2064">
        <f>D2064-I2064</f>
        <v/>
      </c>
      <c r="K2064">
        <f>F2064-MIN(F2064,G2064)-I2064</f>
        <v/>
      </c>
    </row>
    <row r="2065">
      <c r="A2065" s="21">
        <f>IF(Rechner!$E$4&lt;&gt;"ok","",IF(Rechner!$E$5+2063&lt;=Rechner!$B$6,Rechner!$E$5+2063,""))</f>
        <v/>
      </c>
      <c r="B2065">
        <f>IF(A2065="","",LOOKUP(A2065,Basiszins!$A$5:$A$18,Basiszins!$B$5:$B$18))</f>
        <v/>
      </c>
      <c r="C2065">
        <f>IF(A2065="","",B2065+Rechner!$E$7)</f>
        <v/>
      </c>
      <c r="D2065">
        <f>J2064</f>
        <v/>
      </c>
      <c r="E2065">
        <f>IF(A2065="",0,D2065*C2065/100/(DATE(YEAR(A2065)+1,1,1)-DATE(YEAR(A2065),1,1)))</f>
        <v/>
      </c>
      <c r="F2065">
        <f>IF(A2065="",0,SUMIF(Rechner!$A$12:$A$21,A2065,Rechner!$B$12:$B$21))</f>
        <v/>
      </c>
      <c r="G2065">
        <f>H2064+E2065</f>
        <v/>
      </c>
      <c r="H2065">
        <f>G2065-MIN(F2065,G2065)</f>
        <v/>
      </c>
      <c r="I2065">
        <f>MIN(F2065-MIN(F2065,G2065),D2065)</f>
        <v/>
      </c>
      <c r="J2065">
        <f>D2065-I2065</f>
        <v/>
      </c>
      <c r="K2065">
        <f>F2065-MIN(F2065,G2065)-I2065</f>
        <v/>
      </c>
    </row>
    <row r="2066">
      <c r="A2066" s="21">
        <f>IF(Rechner!$E$4&lt;&gt;"ok","",IF(Rechner!$E$5+2064&lt;=Rechner!$B$6,Rechner!$E$5+2064,""))</f>
        <v/>
      </c>
      <c r="B2066">
        <f>IF(A2066="","",LOOKUP(A2066,Basiszins!$A$5:$A$18,Basiszins!$B$5:$B$18))</f>
        <v/>
      </c>
      <c r="C2066">
        <f>IF(A2066="","",B2066+Rechner!$E$7)</f>
        <v/>
      </c>
      <c r="D2066">
        <f>J2065</f>
        <v/>
      </c>
      <c r="E2066">
        <f>IF(A2066="",0,D2066*C2066/100/(DATE(YEAR(A2066)+1,1,1)-DATE(YEAR(A2066),1,1)))</f>
        <v/>
      </c>
      <c r="F2066">
        <f>IF(A2066="",0,SUMIF(Rechner!$A$12:$A$21,A2066,Rechner!$B$12:$B$21))</f>
        <v/>
      </c>
      <c r="G2066">
        <f>H2065+E2066</f>
        <v/>
      </c>
      <c r="H2066">
        <f>G2066-MIN(F2066,G2066)</f>
        <v/>
      </c>
      <c r="I2066">
        <f>MIN(F2066-MIN(F2066,G2066),D2066)</f>
        <v/>
      </c>
      <c r="J2066">
        <f>D2066-I2066</f>
        <v/>
      </c>
      <c r="K2066">
        <f>F2066-MIN(F2066,G2066)-I2066</f>
        <v/>
      </c>
    </row>
    <row r="2067">
      <c r="A2067" s="21">
        <f>IF(Rechner!$E$4&lt;&gt;"ok","",IF(Rechner!$E$5+2065&lt;=Rechner!$B$6,Rechner!$E$5+2065,""))</f>
        <v/>
      </c>
      <c r="B2067">
        <f>IF(A2067="","",LOOKUP(A2067,Basiszins!$A$5:$A$18,Basiszins!$B$5:$B$18))</f>
        <v/>
      </c>
      <c r="C2067">
        <f>IF(A2067="","",B2067+Rechner!$E$7)</f>
        <v/>
      </c>
      <c r="D2067">
        <f>J2066</f>
        <v/>
      </c>
      <c r="E2067">
        <f>IF(A2067="",0,D2067*C2067/100/(DATE(YEAR(A2067)+1,1,1)-DATE(YEAR(A2067),1,1)))</f>
        <v/>
      </c>
      <c r="F2067">
        <f>IF(A2067="",0,SUMIF(Rechner!$A$12:$A$21,A2067,Rechner!$B$12:$B$21))</f>
        <v/>
      </c>
      <c r="G2067">
        <f>H2066+E2067</f>
        <v/>
      </c>
      <c r="H2067">
        <f>G2067-MIN(F2067,G2067)</f>
        <v/>
      </c>
      <c r="I2067">
        <f>MIN(F2067-MIN(F2067,G2067),D2067)</f>
        <v/>
      </c>
      <c r="J2067">
        <f>D2067-I2067</f>
        <v/>
      </c>
      <c r="K2067">
        <f>F2067-MIN(F2067,G2067)-I2067</f>
        <v/>
      </c>
    </row>
    <row r="2068">
      <c r="A2068" s="21">
        <f>IF(Rechner!$E$4&lt;&gt;"ok","",IF(Rechner!$E$5+2066&lt;=Rechner!$B$6,Rechner!$E$5+2066,""))</f>
        <v/>
      </c>
      <c r="B2068">
        <f>IF(A2068="","",LOOKUP(A2068,Basiszins!$A$5:$A$18,Basiszins!$B$5:$B$18))</f>
        <v/>
      </c>
      <c r="C2068">
        <f>IF(A2068="","",B2068+Rechner!$E$7)</f>
        <v/>
      </c>
      <c r="D2068">
        <f>J2067</f>
        <v/>
      </c>
      <c r="E2068">
        <f>IF(A2068="",0,D2068*C2068/100/(DATE(YEAR(A2068)+1,1,1)-DATE(YEAR(A2068),1,1)))</f>
        <v/>
      </c>
      <c r="F2068">
        <f>IF(A2068="",0,SUMIF(Rechner!$A$12:$A$21,A2068,Rechner!$B$12:$B$21))</f>
        <v/>
      </c>
      <c r="G2068">
        <f>H2067+E2068</f>
        <v/>
      </c>
      <c r="H2068">
        <f>G2068-MIN(F2068,G2068)</f>
        <v/>
      </c>
      <c r="I2068">
        <f>MIN(F2068-MIN(F2068,G2068),D2068)</f>
        <v/>
      </c>
      <c r="J2068">
        <f>D2068-I2068</f>
        <v/>
      </c>
      <c r="K2068">
        <f>F2068-MIN(F2068,G2068)-I2068</f>
        <v/>
      </c>
    </row>
    <row r="2069">
      <c r="A2069" s="21">
        <f>IF(Rechner!$E$4&lt;&gt;"ok","",IF(Rechner!$E$5+2067&lt;=Rechner!$B$6,Rechner!$E$5+2067,""))</f>
        <v/>
      </c>
      <c r="B2069">
        <f>IF(A2069="","",LOOKUP(A2069,Basiszins!$A$5:$A$18,Basiszins!$B$5:$B$18))</f>
        <v/>
      </c>
      <c r="C2069">
        <f>IF(A2069="","",B2069+Rechner!$E$7)</f>
        <v/>
      </c>
      <c r="D2069">
        <f>J2068</f>
        <v/>
      </c>
      <c r="E2069">
        <f>IF(A2069="",0,D2069*C2069/100/(DATE(YEAR(A2069)+1,1,1)-DATE(YEAR(A2069),1,1)))</f>
        <v/>
      </c>
      <c r="F2069">
        <f>IF(A2069="",0,SUMIF(Rechner!$A$12:$A$21,A2069,Rechner!$B$12:$B$21))</f>
        <v/>
      </c>
      <c r="G2069">
        <f>H2068+E2069</f>
        <v/>
      </c>
      <c r="H2069">
        <f>G2069-MIN(F2069,G2069)</f>
        <v/>
      </c>
      <c r="I2069">
        <f>MIN(F2069-MIN(F2069,G2069),D2069)</f>
        <v/>
      </c>
      <c r="J2069">
        <f>D2069-I2069</f>
        <v/>
      </c>
      <c r="K2069">
        <f>F2069-MIN(F2069,G2069)-I2069</f>
        <v/>
      </c>
    </row>
    <row r="2070">
      <c r="A2070" s="21">
        <f>IF(Rechner!$E$4&lt;&gt;"ok","",IF(Rechner!$E$5+2068&lt;=Rechner!$B$6,Rechner!$E$5+2068,""))</f>
        <v/>
      </c>
      <c r="B2070">
        <f>IF(A2070="","",LOOKUP(A2070,Basiszins!$A$5:$A$18,Basiszins!$B$5:$B$18))</f>
        <v/>
      </c>
      <c r="C2070">
        <f>IF(A2070="","",B2070+Rechner!$E$7)</f>
        <v/>
      </c>
      <c r="D2070">
        <f>J2069</f>
        <v/>
      </c>
      <c r="E2070">
        <f>IF(A2070="",0,D2070*C2070/100/(DATE(YEAR(A2070)+1,1,1)-DATE(YEAR(A2070),1,1)))</f>
        <v/>
      </c>
      <c r="F2070">
        <f>IF(A2070="",0,SUMIF(Rechner!$A$12:$A$21,A2070,Rechner!$B$12:$B$21))</f>
        <v/>
      </c>
      <c r="G2070">
        <f>H2069+E2070</f>
        <v/>
      </c>
      <c r="H2070">
        <f>G2070-MIN(F2070,G2070)</f>
        <v/>
      </c>
      <c r="I2070">
        <f>MIN(F2070-MIN(F2070,G2070),D2070)</f>
        <v/>
      </c>
      <c r="J2070">
        <f>D2070-I2070</f>
        <v/>
      </c>
      <c r="K2070">
        <f>F2070-MIN(F2070,G2070)-I2070</f>
        <v/>
      </c>
    </row>
    <row r="2071">
      <c r="A2071" s="21">
        <f>IF(Rechner!$E$4&lt;&gt;"ok","",IF(Rechner!$E$5+2069&lt;=Rechner!$B$6,Rechner!$E$5+2069,""))</f>
        <v/>
      </c>
      <c r="B2071">
        <f>IF(A2071="","",LOOKUP(A2071,Basiszins!$A$5:$A$18,Basiszins!$B$5:$B$18))</f>
        <v/>
      </c>
      <c r="C2071">
        <f>IF(A2071="","",B2071+Rechner!$E$7)</f>
        <v/>
      </c>
      <c r="D2071">
        <f>J2070</f>
        <v/>
      </c>
      <c r="E2071">
        <f>IF(A2071="",0,D2071*C2071/100/(DATE(YEAR(A2071)+1,1,1)-DATE(YEAR(A2071),1,1)))</f>
        <v/>
      </c>
      <c r="F2071">
        <f>IF(A2071="",0,SUMIF(Rechner!$A$12:$A$21,A2071,Rechner!$B$12:$B$21))</f>
        <v/>
      </c>
      <c r="G2071">
        <f>H2070+E2071</f>
        <v/>
      </c>
      <c r="H2071">
        <f>G2071-MIN(F2071,G2071)</f>
        <v/>
      </c>
      <c r="I2071">
        <f>MIN(F2071-MIN(F2071,G2071),D2071)</f>
        <v/>
      </c>
      <c r="J2071">
        <f>D2071-I2071</f>
        <v/>
      </c>
      <c r="K2071">
        <f>F2071-MIN(F2071,G2071)-I2071</f>
        <v/>
      </c>
    </row>
    <row r="2072">
      <c r="A2072" s="21">
        <f>IF(Rechner!$E$4&lt;&gt;"ok","",IF(Rechner!$E$5+2070&lt;=Rechner!$B$6,Rechner!$E$5+2070,""))</f>
        <v/>
      </c>
      <c r="B2072">
        <f>IF(A2072="","",LOOKUP(A2072,Basiszins!$A$5:$A$18,Basiszins!$B$5:$B$18))</f>
        <v/>
      </c>
      <c r="C2072">
        <f>IF(A2072="","",B2072+Rechner!$E$7)</f>
        <v/>
      </c>
      <c r="D2072">
        <f>J2071</f>
        <v/>
      </c>
      <c r="E2072">
        <f>IF(A2072="",0,D2072*C2072/100/(DATE(YEAR(A2072)+1,1,1)-DATE(YEAR(A2072),1,1)))</f>
        <v/>
      </c>
      <c r="F2072">
        <f>IF(A2072="",0,SUMIF(Rechner!$A$12:$A$21,A2072,Rechner!$B$12:$B$21))</f>
        <v/>
      </c>
      <c r="G2072">
        <f>H2071+E2072</f>
        <v/>
      </c>
      <c r="H2072">
        <f>G2072-MIN(F2072,G2072)</f>
        <v/>
      </c>
      <c r="I2072">
        <f>MIN(F2072-MIN(F2072,G2072),D2072)</f>
        <v/>
      </c>
      <c r="J2072">
        <f>D2072-I2072</f>
        <v/>
      </c>
      <c r="K2072">
        <f>F2072-MIN(F2072,G2072)-I2072</f>
        <v/>
      </c>
    </row>
    <row r="2073">
      <c r="A2073" s="21">
        <f>IF(Rechner!$E$4&lt;&gt;"ok","",IF(Rechner!$E$5+2071&lt;=Rechner!$B$6,Rechner!$E$5+2071,""))</f>
        <v/>
      </c>
      <c r="B2073">
        <f>IF(A2073="","",LOOKUP(A2073,Basiszins!$A$5:$A$18,Basiszins!$B$5:$B$18))</f>
        <v/>
      </c>
      <c r="C2073">
        <f>IF(A2073="","",B2073+Rechner!$E$7)</f>
        <v/>
      </c>
      <c r="D2073">
        <f>J2072</f>
        <v/>
      </c>
      <c r="E2073">
        <f>IF(A2073="",0,D2073*C2073/100/(DATE(YEAR(A2073)+1,1,1)-DATE(YEAR(A2073),1,1)))</f>
        <v/>
      </c>
      <c r="F2073">
        <f>IF(A2073="",0,SUMIF(Rechner!$A$12:$A$21,A2073,Rechner!$B$12:$B$21))</f>
        <v/>
      </c>
      <c r="G2073">
        <f>H2072+E2073</f>
        <v/>
      </c>
      <c r="H2073">
        <f>G2073-MIN(F2073,G2073)</f>
        <v/>
      </c>
      <c r="I2073">
        <f>MIN(F2073-MIN(F2073,G2073),D2073)</f>
        <v/>
      </c>
      <c r="J2073">
        <f>D2073-I2073</f>
        <v/>
      </c>
      <c r="K2073">
        <f>F2073-MIN(F2073,G2073)-I2073</f>
        <v/>
      </c>
    </row>
    <row r="2074">
      <c r="A2074" s="21">
        <f>IF(Rechner!$E$4&lt;&gt;"ok","",IF(Rechner!$E$5+2072&lt;=Rechner!$B$6,Rechner!$E$5+2072,""))</f>
        <v/>
      </c>
      <c r="B2074">
        <f>IF(A2074="","",LOOKUP(A2074,Basiszins!$A$5:$A$18,Basiszins!$B$5:$B$18))</f>
        <v/>
      </c>
      <c r="C2074">
        <f>IF(A2074="","",B2074+Rechner!$E$7)</f>
        <v/>
      </c>
      <c r="D2074">
        <f>J2073</f>
        <v/>
      </c>
      <c r="E2074">
        <f>IF(A2074="",0,D2074*C2074/100/(DATE(YEAR(A2074)+1,1,1)-DATE(YEAR(A2074),1,1)))</f>
        <v/>
      </c>
      <c r="F2074">
        <f>IF(A2074="",0,SUMIF(Rechner!$A$12:$A$21,A2074,Rechner!$B$12:$B$21))</f>
        <v/>
      </c>
      <c r="G2074">
        <f>H2073+E2074</f>
        <v/>
      </c>
      <c r="H2074">
        <f>G2074-MIN(F2074,G2074)</f>
        <v/>
      </c>
      <c r="I2074">
        <f>MIN(F2074-MIN(F2074,G2074),D2074)</f>
        <v/>
      </c>
      <c r="J2074">
        <f>D2074-I2074</f>
        <v/>
      </c>
      <c r="K2074">
        <f>F2074-MIN(F2074,G2074)-I2074</f>
        <v/>
      </c>
    </row>
    <row r="2075">
      <c r="A2075" s="21">
        <f>IF(Rechner!$E$4&lt;&gt;"ok","",IF(Rechner!$E$5+2073&lt;=Rechner!$B$6,Rechner!$E$5+2073,""))</f>
        <v/>
      </c>
      <c r="B2075">
        <f>IF(A2075="","",LOOKUP(A2075,Basiszins!$A$5:$A$18,Basiszins!$B$5:$B$18))</f>
        <v/>
      </c>
      <c r="C2075">
        <f>IF(A2075="","",B2075+Rechner!$E$7)</f>
        <v/>
      </c>
      <c r="D2075">
        <f>J2074</f>
        <v/>
      </c>
      <c r="E2075">
        <f>IF(A2075="",0,D2075*C2075/100/(DATE(YEAR(A2075)+1,1,1)-DATE(YEAR(A2075),1,1)))</f>
        <v/>
      </c>
      <c r="F2075">
        <f>IF(A2075="",0,SUMIF(Rechner!$A$12:$A$21,A2075,Rechner!$B$12:$B$21))</f>
        <v/>
      </c>
      <c r="G2075">
        <f>H2074+E2075</f>
        <v/>
      </c>
      <c r="H2075">
        <f>G2075-MIN(F2075,G2075)</f>
        <v/>
      </c>
      <c r="I2075">
        <f>MIN(F2075-MIN(F2075,G2075),D2075)</f>
        <v/>
      </c>
      <c r="J2075">
        <f>D2075-I2075</f>
        <v/>
      </c>
      <c r="K2075">
        <f>F2075-MIN(F2075,G2075)-I2075</f>
        <v/>
      </c>
    </row>
    <row r="2076">
      <c r="A2076" s="21">
        <f>IF(Rechner!$E$4&lt;&gt;"ok","",IF(Rechner!$E$5+2074&lt;=Rechner!$B$6,Rechner!$E$5+2074,""))</f>
        <v/>
      </c>
      <c r="B2076">
        <f>IF(A2076="","",LOOKUP(A2076,Basiszins!$A$5:$A$18,Basiszins!$B$5:$B$18))</f>
        <v/>
      </c>
      <c r="C2076">
        <f>IF(A2076="","",B2076+Rechner!$E$7)</f>
        <v/>
      </c>
      <c r="D2076">
        <f>J2075</f>
        <v/>
      </c>
      <c r="E2076">
        <f>IF(A2076="",0,D2076*C2076/100/(DATE(YEAR(A2076)+1,1,1)-DATE(YEAR(A2076),1,1)))</f>
        <v/>
      </c>
      <c r="F2076">
        <f>IF(A2076="",0,SUMIF(Rechner!$A$12:$A$21,A2076,Rechner!$B$12:$B$21))</f>
        <v/>
      </c>
      <c r="G2076">
        <f>H2075+E2076</f>
        <v/>
      </c>
      <c r="H2076">
        <f>G2076-MIN(F2076,G2076)</f>
        <v/>
      </c>
      <c r="I2076">
        <f>MIN(F2076-MIN(F2076,G2076),D2076)</f>
        <v/>
      </c>
      <c r="J2076">
        <f>D2076-I2076</f>
        <v/>
      </c>
      <c r="K2076">
        <f>F2076-MIN(F2076,G2076)-I2076</f>
        <v/>
      </c>
    </row>
    <row r="2077">
      <c r="A2077" s="21">
        <f>IF(Rechner!$E$4&lt;&gt;"ok","",IF(Rechner!$E$5+2075&lt;=Rechner!$B$6,Rechner!$E$5+2075,""))</f>
        <v/>
      </c>
      <c r="B2077">
        <f>IF(A2077="","",LOOKUP(A2077,Basiszins!$A$5:$A$18,Basiszins!$B$5:$B$18))</f>
        <v/>
      </c>
      <c r="C2077">
        <f>IF(A2077="","",B2077+Rechner!$E$7)</f>
        <v/>
      </c>
      <c r="D2077">
        <f>J2076</f>
        <v/>
      </c>
      <c r="E2077">
        <f>IF(A2077="",0,D2077*C2077/100/(DATE(YEAR(A2077)+1,1,1)-DATE(YEAR(A2077),1,1)))</f>
        <v/>
      </c>
      <c r="F2077">
        <f>IF(A2077="",0,SUMIF(Rechner!$A$12:$A$21,A2077,Rechner!$B$12:$B$21))</f>
        <v/>
      </c>
      <c r="G2077">
        <f>H2076+E2077</f>
        <v/>
      </c>
      <c r="H2077">
        <f>G2077-MIN(F2077,G2077)</f>
        <v/>
      </c>
      <c r="I2077">
        <f>MIN(F2077-MIN(F2077,G2077),D2077)</f>
        <v/>
      </c>
      <c r="J2077">
        <f>D2077-I2077</f>
        <v/>
      </c>
      <c r="K2077">
        <f>F2077-MIN(F2077,G2077)-I2077</f>
        <v/>
      </c>
    </row>
    <row r="2078">
      <c r="A2078" s="21">
        <f>IF(Rechner!$E$4&lt;&gt;"ok","",IF(Rechner!$E$5+2076&lt;=Rechner!$B$6,Rechner!$E$5+2076,""))</f>
        <v/>
      </c>
      <c r="B2078">
        <f>IF(A2078="","",LOOKUP(A2078,Basiszins!$A$5:$A$18,Basiszins!$B$5:$B$18))</f>
        <v/>
      </c>
      <c r="C2078">
        <f>IF(A2078="","",B2078+Rechner!$E$7)</f>
        <v/>
      </c>
      <c r="D2078">
        <f>J2077</f>
        <v/>
      </c>
      <c r="E2078">
        <f>IF(A2078="",0,D2078*C2078/100/(DATE(YEAR(A2078)+1,1,1)-DATE(YEAR(A2078),1,1)))</f>
        <v/>
      </c>
      <c r="F2078">
        <f>IF(A2078="",0,SUMIF(Rechner!$A$12:$A$21,A2078,Rechner!$B$12:$B$21))</f>
        <v/>
      </c>
      <c r="G2078">
        <f>H2077+E2078</f>
        <v/>
      </c>
      <c r="H2078">
        <f>G2078-MIN(F2078,G2078)</f>
        <v/>
      </c>
      <c r="I2078">
        <f>MIN(F2078-MIN(F2078,G2078),D2078)</f>
        <v/>
      </c>
      <c r="J2078">
        <f>D2078-I2078</f>
        <v/>
      </c>
      <c r="K2078">
        <f>F2078-MIN(F2078,G2078)-I2078</f>
        <v/>
      </c>
    </row>
    <row r="2079">
      <c r="A2079" s="21">
        <f>IF(Rechner!$E$4&lt;&gt;"ok","",IF(Rechner!$E$5+2077&lt;=Rechner!$B$6,Rechner!$E$5+2077,""))</f>
        <v/>
      </c>
      <c r="B2079">
        <f>IF(A2079="","",LOOKUP(A2079,Basiszins!$A$5:$A$18,Basiszins!$B$5:$B$18))</f>
        <v/>
      </c>
      <c r="C2079">
        <f>IF(A2079="","",B2079+Rechner!$E$7)</f>
        <v/>
      </c>
      <c r="D2079">
        <f>J2078</f>
        <v/>
      </c>
      <c r="E2079">
        <f>IF(A2079="",0,D2079*C2079/100/(DATE(YEAR(A2079)+1,1,1)-DATE(YEAR(A2079),1,1)))</f>
        <v/>
      </c>
      <c r="F2079">
        <f>IF(A2079="",0,SUMIF(Rechner!$A$12:$A$21,A2079,Rechner!$B$12:$B$21))</f>
        <v/>
      </c>
      <c r="G2079">
        <f>H2078+E2079</f>
        <v/>
      </c>
      <c r="H2079">
        <f>G2079-MIN(F2079,G2079)</f>
        <v/>
      </c>
      <c r="I2079">
        <f>MIN(F2079-MIN(F2079,G2079),D2079)</f>
        <v/>
      </c>
      <c r="J2079">
        <f>D2079-I2079</f>
        <v/>
      </c>
      <c r="K2079">
        <f>F2079-MIN(F2079,G2079)-I2079</f>
        <v/>
      </c>
    </row>
    <row r="2080">
      <c r="A2080" s="21">
        <f>IF(Rechner!$E$4&lt;&gt;"ok","",IF(Rechner!$E$5+2078&lt;=Rechner!$B$6,Rechner!$E$5+2078,""))</f>
        <v/>
      </c>
      <c r="B2080">
        <f>IF(A2080="","",LOOKUP(A2080,Basiszins!$A$5:$A$18,Basiszins!$B$5:$B$18))</f>
        <v/>
      </c>
      <c r="C2080">
        <f>IF(A2080="","",B2080+Rechner!$E$7)</f>
        <v/>
      </c>
      <c r="D2080">
        <f>J2079</f>
        <v/>
      </c>
      <c r="E2080">
        <f>IF(A2080="",0,D2080*C2080/100/(DATE(YEAR(A2080)+1,1,1)-DATE(YEAR(A2080),1,1)))</f>
        <v/>
      </c>
      <c r="F2080">
        <f>IF(A2080="",0,SUMIF(Rechner!$A$12:$A$21,A2080,Rechner!$B$12:$B$21))</f>
        <v/>
      </c>
      <c r="G2080">
        <f>H2079+E2080</f>
        <v/>
      </c>
      <c r="H2080">
        <f>G2080-MIN(F2080,G2080)</f>
        <v/>
      </c>
      <c r="I2080">
        <f>MIN(F2080-MIN(F2080,G2080),D2080)</f>
        <v/>
      </c>
      <c r="J2080">
        <f>D2080-I2080</f>
        <v/>
      </c>
      <c r="K2080">
        <f>F2080-MIN(F2080,G2080)-I2080</f>
        <v/>
      </c>
    </row>
    <row r="2081">
      <c r="A2081" s="21">
        <f>IF(Rechner!$E$4&lt;&gt;"ok","",IF(Rechner!$E$5+2079&lt;=Rechner!$B$6,Rechner!$E$5+2079,""))</f>
        <v/>
      </c>
      <c r="B2081">
        <f>IF(A2081="","",LOOKUP(A2081,Basiszins!$A$5:$A$18,Basiszins!$B$5:$B$18))</f>
        <v/>
      </c>
      <c r="C2081">
        <f>IF(A2081="","",B2081+Rechner!$E$7)</f>
        <v/>
      </c>
      <c r="D2081">
        <f>J2080</f>
        <v/>
      </c>
      <c r="E2081">
        <f>IF(A2081="",0,D2081*C2081/100/(DATE(YEAR(A2081)+1,1,1)-DATE(YEAR(A2081),1,1)))</f>
        <v/>
      </c>
      <c r="F2081">
        <f>IF(A2081="",0,SUMIF(Rechner!$A$12:$A$21,A2081,Rechner!$B$12:$B$21))</f>
        <v/>
      </c>
      <c r="G2081">
        <f>H2080+E2081</f>
        <v/>
      </c>
      <c r="H2081">
        <f>G2081-MIN(F2081,G2081)</f>
        <v/>
      </c>
      <c r="I2081">
        <f>MIN(F2081-MIN(F2081,G2081),D2081)</f>
        <v/>
      </c>
      <c r="J2081">
        <f>D2081-I2081</f>
        <v/>
      </c>
      <c r="K2081">
        <f>F2081-MIN(F2081,G2081)-I2081</f>
        <v/>
      </c>
    </row>
    <row r="2082">
      <c r="A2082" s="21">
        <f>IF(Rechner!$E$4&lt;&gt;"ok","",IF(Rechner!$E$5+2080&lt;=Rechner!$B$6,Rechner!$E$5+2080,""))</f>
        <v/>
      </c>
      <c r="B2082">
        <f>IF(A2082="","",LOOKUP(A2082,Basiszins!$A$5:$A$18,Basiszins!$B$5:$B$18))</f>
        <v/>
      </c>
      <c r="C2082">
        <f>IF(A2082="","",B2082+Rechner!$E$7)</f>
        <v/>
      </c>
      <c r="D2082">
        <f>J2081</f>
        <v/>
      </c>
      <c r="E2082">
        <f>IF(A2082="",0,D2082*C2082/100/(DATE(YEAR(A2082)+1,1,1)-DATE(YEAR(A2082),1,1)))</f>
        <v/>
      </c>
      <c r="F2082">
        <f>IF(A2082="",0,SUMIF(Rechner!$A$12:$A$21,A2082,Rechner!$B$12:$B$21))</f>
        <v/>
      </c>
      <c r="G2082">
        <f>H2081+E2082</f>
        <v/>
      </c>
      <c r="H2082">
        <f>G2082-MIN(F2082,G2082)</f>
        <v/>
      </c>
      <c r="I2082">
        <f>MIN(F2082-MIN(F2082,G2082),D2082)</f>
        <v/>
      </c>
      <c r="J2082">
        <f>D2082-I2082</f>
        <v/>
      </c>
      <c r="K2082">
        <f>F2082-MIN(F2082,G2082)-I2082</f>
        <v/>
      </c>
    </row>
    <row r="2083">
      <c r="A2083" s="21">
        <f>IF(Rechner!$E$4&lt;&gt;"ok","",IF(Rechner!$E$5+2081&lt;=Rechner!$B$6,Rechner!$E$5+2081,""))</f>
        <v/>
      </c>
      <c r="B2083">
        <f>IF(A2083="","",LOOKUP(A2083,Basiszins!$A$5:$A$18,Basiszins!$B$5:$B$18))</f>
        <v/>
      </c>
      <c r="C2083">
        <f>IF(A2083="","",B2083+Rechner!$E$7)</f>
        <v/>
      </c>
      <c r="D2083">
        <f>J2082</f>
        <v/>
      </c>
      <c r="E2083">
        <f>IF(A2083="",0,D2083*C2083/100/(DATE(YEAR(A2083)+1,1,1)-DATE(YEAR(A2083),1,1)))</f>
        <v/>
      </c>
      <c r="F2083">
        <f>IF(A2083="",0,SUMIF(Rechner!$A$12:$A$21,A2083,Rechner!$B$12:$B$21))</f>
        <v/>
      </c>
      <c r="G2083">
        <f>H2082+E2083</f>
        <v/>
      </c>
      <c r="H2083">
        <f>G2083-MIN(F2083,G2083)</f>
        <v/>
      </c>
      <c r="I2083">
        <f>MIN(F2083-MIN(F2083,G2083),D2083)</f>
        <v/>
      </c>
      <c r="J2083">
        <f>D2083-I2083</f>
        <v/>
      </c>
      <c r="K2083">
        <f>F2083-MIN(F2083,G2083)-I2083</f>
        <v/>
      </c>
    </row>
    <row r="2084">
      <c r="A2084" s="21">
        <f>IF(Rechner!$E$4&lt;&gt;"ok","",IF(Rechner!$E$5+2082&lt;=Rechner!$B$6,Rechner!$E$5+2082,""))</f>
        <v/>
      </c>
      <c r="B2084">
        <f>IF(A2084="","",LOOKUP(A2084,Basiszins!$A$5:$A$18,Basiszins!$B$5:$B$18))</f>
        <v/>
      </c>
      <c r="C2084">
        <f>IF(A2084="","",B2084+Rechner!$E$7)</f>
        <v/>
      </c>
      <c r="D2084">
        <f>J2083</f>
        <v/>
      </c>
      <c r="E2084">
        <f>IF(A2084="",0,D2084*C2084/100/(DATE(YEAR(A2084)+1,1,1)-DATE(YEAR(A2084),1,1)))</f>
        <v/>
      </c>
      <c r="F2084">
        <f>IF(A2084="",0,SUMIF(Rechner!$A$12:$A$21,A2084,Rechner!$B$12:$B$21))</f>
        <v/>
      </c>
      <c r="G2084">
        <f>H2083+E2084</f>
        <v/>
      </c>
      <c r="H2084">
        <f>G2084-MIN(F2084,G2084)</f>
        <v/>
      </c>
      <c r="I2084">
        <f>MIN(F2084-MIN(F2084,G2084),D2084)</f>
        <v/>
      </c>
      <c r="J2084">
        <f>D2084-I2084</f>
        <v/>
      </c>
      <c r="K2084">
        <f>F2084-MIN(F2084,G2084)-I2084</f>
        <v/>
      </c>
    </row>
    <row r="2085">
      <c r="A2085" s="21">
        <f>IF(Rechner!$E$4&lt;&gt;"ok","",IF(Rechner!$E$5+2083&lt;=Rechner!$B$6,Rechner!$E$5+2083,""))</f>
        <v/>
      </c>
      <c r="B2085">
        <f>IF(A2085="","",LOOKUP(A2085,Basiszins!$A$5:$A$18,Basiszins!$B$5:$B$18))</f>
        <v/>
      </c>
      <c r="C2085">
        <f>IF(A2085="","",B2085+Rechner!$E$7)</f>
        <v/>
      </c>
      <c r="D2085">
        <f>J2084</f>
        <v/>
      </c>
      <c r="E2085">
        <f>IF(A2085="",0,D2085*C2085/100/(DATE(YEAR(A2085)+1,1,1)-DATE(YEAR(A2085),1,1)))</f>
        <v/>
      </c>
      <c r="F2085">
        <f>IF(A2085="",0,SUMIF(Rechner!$A$12:$A$21,A2085,Rechner!$B$12:$B$21))</f>
        <v/>
      </c>
      <c r="G2085">
        <f>H2084+E2085</f>
        <v/>
      </c>
      <c r="H2085">
        <f>G2085-MIN(F2085,G2085)</f>
        <v/>
      </c>
      <c r="I2085">
        <f>MIN(F2085-MIN(F2085,G2085),D2085)</f>
        <v/>
      </c>
      <c r="J2085">
        <f>D2085-I2085</f>
        <v/>
      </c>
      <c r="K2085">
        <f>F2085-MIN(F2085,G2085)-I2085</f>
        <v/>
      </c>
    </row>
    <row r="2086">
      <c r="A2086" s="21">
        <f>IF(Rechner!$E$4&lt;&gt;"ok","",IF(Rechner!$E$5+2084&lt;=Rechner!$B$6,Rechner!$E$5+2084,""))</f>
        <v/>
      </c>
      <c r="B2086">
        <f>IF(A2086="","",LOOKUP(A2086,Basiszins!$A$5:$A$18,Basiszins!$B$5:$B$18))</f>
        <v/>
      </c>
      <c r="C2086">
        <f>IF(A2086="","",B2086+Rechner!$E$7)</f>
        <v/>
      </c>
      <c r="D2086">
        <f>J2085</f>
        <v/>
      </c>
      <c r="E2086">
        <f>IF(A2086="",0,D2086*C2086/100/(DATE(YEAR(A2086)+1,1,1)-DATE(YEAR(A2086),1,1)))</f>
        <v/>
      </c>
      <c r="F2086">
        <f>IF(A2086="",0,SUMIF(Rechner!$A$12:$A$21,A2086,Rechner!$B$12:$B$21))</f>
        <v/>
      </c>
      <c r="G2086">
        <f>H2085+E2086</f>
        <v/>
      </c>
      <c r="H2086">
        <f>G2086-MIN(F2086,G2086)</f>
        <v/>
      </c>
      <c r="I2086">
        <f>MIN(F2086-MIN(F2086,G2086),D2086)</f>
        <v/>
      </c>
      <c r="J2086">
        <f>D2086-I2086</f>
        <v/>
      </c>
      <c r="K2086">
        <f>F2086-MIN(F2086,G2086)-I2086</f>
        <v/>
      </c>
    </row>
    <row r="2087">
      <c r="A2087" s="21">
        <f>IF(Rechner!$E$4&lt;&gt;"ok","",IF(Rechner!$E$5+2085&lt;=Rechner!$B$6,Rechner!$E$5+2085,""))</f>
        <v/>
      </c>
      <c r="B2087">
        <f>IF(A2087="","",LOOKUP(A2087,Basiszins!$A$5:$A$18,Basiszins!$B$5:$B$18))</f>
        <v/>
      </c>
      <c r="C2087">
        <f>IF(A2087="","",B2087+Rechner!$E$7)</f>
        <v/>
      </c>
      <c r="D2087">
        <f>J2086</f>
        <v/>
      </c>
      <c r="E2087">
        <f>IF(A2087="",0,D2087*C2087/100/(DATE(YEAR(A2087)+1,1,1)-DATE(YEAR(A2087),1,1)))</f>
        <v/>
      </c>
      <c r="F2087">
        <f>IF(A2087="",0,SUMIF(Rechner!$A$12:$A$21,A2087,Rechner!$B$12:$B$21))</f>
        <v/>
      </c>
      <c r="G2087">
        <f>H2086+E2087</f>
        <v/>
      </c>
      <c r="H2087">
        <f>G2087-MIN(F2087,G2087)</f>
        <v/>
      </c>
      <c r="I2087">
        <f>MIN(F2087-MIN(F2087,G2087),D2087)</f>
        <v/>
      </c>
      <c r="J2087">
        <f>D2087-I2087</f>
        <v/>
      </c>
      <c r="K2087">
        <f>F2087-MIN(F2087,G2087)-I2087</f>
        <v/>
      </c>
    </row>
    <row r="2088">
      <c r="A2088" s="21">
        <f>IF(Rechner!$E$4&lt;&gt;"ok","",IF(Rechner!$E$5+2086&lt;=Rechner!$B$6,Rechner!$E$5+2086,""))</f>
        <v/>
      </c>
      <c r="B2088">
        <f>IF(A2088="","",LOOKUP(A2088,Basiszins!$A$5:$A$18,Basiszins!$B$5:$B$18))</f>
        <v/>
      </c>
      <c r="C2088">
        <f>IF(A2088="","",B2088+Rechner!$E$7)</f>
        <v/>
      </c>
      <c r="D2088">
        <f>J2087</f>
        <v/>
      </c>
      <c r="E2088">
        <f>IF(A2088="",0,D2088*C2088/100/(DATE(YEAR(A2088)+1,1,1)-DATE(YEAR(A2088),1,1)))</f>
        <v/>
      </c>
      <c r="F2088">
        <f>IF(A2088="",0,SUMIF(Rechner!$A$12:$A$21,A2088,Rechner!$B$12:$B$21))</f>
        <v/>
      </c>
      <c r="G2088">
        <f>H2087+E2088</f>
        <v/>
      </c>
      <c r="H2088">
        <f>G2088-MIN(F2088,G2088)</f>
        <v/>
      </c>
      <c r="I2088">
        <f>MIN(F2088-MIN(F2088,G2088),D2088)</f>
        <v/>
      </c>
      <c r="J2088">
        <f>D2088-I2088</f>
        <v/>
      </c>
      <c r="K2088">
        <f>F2088-MIN(F2088,G2088)-I2088</f>
        <v/>
      </c>
    </row>
    <row r="2089">
      <c r="A2089" s="21">
        <f>IF(Rechner!$E$4&lt;&gt;"ok","",IF(Rechner!$E$5+2087&lt;=Rechner!$B$6,Rechner!$E$5+2087,""))</f>
        <v/>
      </c>
      <c r="B2089">
        <f>IF(A2089="","",LOOKUP(A2089,Basiszins!$A$5:$A$18,Basiszins!$B$5:$B$18))</f>
        <v/>
      </c>
      <c r="C2089">
        <f>IF(A2089="","",B2089+Rechner!$E$7)</f>
        <v/>
      </c>
      <c r="D2089">
        <f>J2088</f>
        <v/>
      </c>
      <c r="E2089">
        <f>IF(A2089="",0,D2089*C2089/100/(DATE(YEAR(A2089)+1,1,1)-DATE(YEAR(A2089),1,1)))</f>
        <v/>
      </c>
      <c r="F2089">
        <f>IF(A2089="",0,SUMIF(Rechner!$A$12:$A$21,A2089,Rechner!$B$12:$B$21))</f>
        <v/>
      </c>
      <c r="G2089">
        <f>H2088+E2089</f>
        <v/>
      </c>
      <c r="H2089">
        <f>G2089-MIN(F2089,G2089)</f>
        <v/>
      </c>
      <c r="I2089">
        <f>MIN(F2089-MIN(F2089,G2089),D2089)</f>
        <v/>
      </c>
      <c r="J2089">
        <f>D2089-I2089</f>
        <v/>
      </c>
      <c r="K2089">
        <f>F2089-MIN(F2089,G2089)-I2089</f>
        <v/>
      </c>
    </row>
    <row r="2090">
      <c r="A2090" s="21">
        <f>IF(Rechner!$E$4&lt;&gt;"ok","",IF(Rechner!$E$5+2088&lt;=Rechner!$B$6,Rechner!$E$5+2088,""))</f>
        <v/>
      </c>
      <c r="B2090">
        <f>IF(A2090="","",LOOKUP(A2090,Basiszins!$A$5:$A$18,Basiszins!$B$5:$B$18))</f>
        <v/>
      </c>
      <c r="C2090">
        <f>IF(A2090="","",B2090+Rechner!$E$7)</f>
        <v/>
      </c>
      <c r="D2090">
        <f>J2089</f>
        <v/>
      </c>
      <c r="E2090">
        <f>IF(A2090="",0,D2090*C2090/100/(DATE(YEAR(A2090)+1,1,1)-DATE(YEAR(A2090),1,1)))</f>
        <v/>
      </c>
      <c r="F2090">
        <f>IF(A2090="",0,SUMIF(Rechner!$A$12:$A$21,A2090,Rechner!$B$12:$B$21))</f>
        <v/>
      </c>
      <c r="G2090">
        <f>H2089+E2090</f>
        <v/>
      </c>
      <c r="H2090">
        <f>G2090-MIN(F2090,G2090)</f>
        <v/>
      </c>
      <c r="I2090">
        <f>MIN(F2090-MIN(F2090,G2090),D2090)</f>
        <v/>
      </c>
      <c r="J2090">
        <f>D2090-I2090</f>
        <v/>
      </c>
      <c r="K2090">
        <f>F2090-MIN(F2090,G2090)-I2090</f>
        <v/>
      </c>
    </row>
    <row r="2091">
      <c r="A2091" s="21">
        <f>IF(Rechner!$E$4&lt;&gt;"ok","",IF(Rechner!$E$5+2089&lt;=Rechner!$B$6,Rechner!$E$5+2089,""))</f>
        <v/>
      </c>
      <c r="B2091">
        <f>IF(A2091="","",LOOKUP(A2091,Basiszins!$A$5:$A$18,Basiszins!$B$5:$B$18))</f>
        <v/>
      </c>
      <c r="C2091">
        <f>IF(A2091="","",B2091+Rechner!$E$7)</f>
        <v/>
      </c>
      <c r="D2091">
        <f>J2090</f>
        <v/>
      </c>
      <c r="E2091">
        <f>IF(A2091="",0,D2091*C2091/100/(DATE(YEAR(A2091)+1,1,1)-DATE(YEAR(A2091),1,1)))</f>
        <v/>
      </c>
      <c r="F2091">
        <f>IF(A2091="",0,SUMIF(Rechner!$A$12:$A$21,A2091,Rechner!$B$12:$B$21))</f>
        <v/>
      </c>
      <c r="G2091">
        <f>H2090+E2091</f>
        <v/>
      </c>
      <c r="H2091">
        <f>G2091-MIN(F2091,G2091)</f>
        <v/>
      </c>
      <c r="I2091">
        <f>MIN(F2091-MIN(F2091,G2091),D2091)</f>
        <v/>
      </c>
      <c r="J2091">
        <f>D2091-I2091</f>
        <v/>
      </c>
      <c r="K2091">
        <f>F2091-MIN(F2091,G2091)-I2091</f>
        <v/>
      </c>
    </row>
    <row r="2092">
      <c r="A2092" s="21">
        <f>IF(Rechner!$E$4&lt;&gt;"ok","",IF(Rechner!$E$5+2090&lt;=Rechner!$B$6,Rechner!$E$5+2090,""))</f>
        <v/>
      </c>
      <c r="B2092">
        <f>IF(A2092="","",LOOKUP(A2092,Basiszins!$A$5:$A$18,Basiszins!$B$5:$B$18))</f>
        <v/>
      </c>
      <c r="C2092">
        <f>IF(A2092="","",B2092+Rechner!$E$7)</f>
        <v/>
      </c>
      <c r="D2092">
        <f>J2091</f>
        <v/>
      </c>
      <c r="E2092">
        <f>IF(A2092="",0,D2092*C2092/100/(DATE(YEAR(A2092)+1,1,1)-DATE(YEAR(A2092),1,1)))</f>
        <v/>
      </c>
      <c r="F2092">
        <f>IF(A2092="",0,SUMIF(Rechner!$A$12:$A$21,A2092,Rechner!$B$12:$B$21))</f>
        <v/>
      </c>
      <c r="G2092">
        <f>H2091+E2092</f>
        <v/>
      </c>
      <c r="H2092">
        <f>G2092-MIN(F2092,G2092)</f>
        <v/>
      </c>
      <c r="I2092">
        <f>MIN(F2092-MIN(F2092,G2092),D2092)</f>
        <v/>
      </c>
      <c r="J2092">
        <f>D2092-I2092</f>
        <v/>
      </c>
      <c r="K2092">
        <f>F2092-MIN(F2092,G2092)-I2092</f>
        <v/>
      </c>
    </row>
    <row r="2093">
      <c r="A2093" s="21">
        <f>IF(Rechner!$E$4&lt;&gt;"ok","",IF(Rechner!$E$5+2091&lt;=Rechner!$B$6,Rechner!$E$5+2091,""))</f>
        <v/>
      </c>
      <c r="B2093">
        <f>IF(A2093="","",LOOKUP(A2093,Basiszins!$A$5:$A$18,Basiszins!$B$5:$B$18))</f>
        <v/>
      </c>
      <c r="C2093">
        <f>IF(A2093="","",B2093+Rechner!$E$7)</f>
        <v/>
      </c>
      <c r="D2093">
        <f>J2092</f>
        <v/>
      </c>
      <c r="E2093">
        <f>IF(A2093="",0,D2093*C2093/100/(DATE(YEAR(A2093)+1,1,1)-DATE(YEAR(A2093),1,1)))</f>
        <v/>
      </c>
      <c r="F2093">
        <f>IF(A2093="",0,SUMIF(Rechner!$A$12:$A$21,A2093,Rechner!$B$12:$B$21))</f>
        <v/>
      </c>
      <c r="G2093">
        <f>H2092+E2093</f>
        <v/>
      </c>
      <c r="H2093">
        <f>G2093-MIN(F2093,G2093)</f>
        <v/>
      </c>
      <c r="I2093">
        <f>MIN(F2093-MIN(F2093,G2093),D2093)</f>
        <v/>
      </c>
      <c r="J2093">
        <f>D2093-I2093</f>
        <v/>
      </c>
      <c r="K2093">
        <f>F2093-MIN(F2093,G2093)-I2093</f>
        <v/>
      </c>
    </row>
    <row r="2094">
      <c r="A2094" s="21">
        <f>IF(Rechner!$E$4&lt;&gt;"ok","",IF(Rechner!$E$5+2092&lt;=Rechner!$B$6,Rechner!$E$5+2092,""))</f>
        <v/>
      </c>
      <c r="B2094">
        <f>IF(A2094="","",LOOKUP(A2094,Basiszins!$A$5:$A$18,Basiszins!$B$5:$B$18))</f>
        <v/>
      </c>
      <c r="C2094">
        <f>IF(A2094="","",B2094+Rechner!$E$7)</f>
        <v/>
      </c>
      <c r="D2094">
        <f>J2093</f>
        <v/>
      </c>
      <c r="E2094">
        <f>IF(A2094="",0,D2094*C2094/100/(DATE(YEAR(A2094)+1,1,1)-DATE(YEAR(A2094),1,1)))</f>
        <v/>
      </c>
      <c r="F2094">
        <f>IF(A2094="",0,SUMIF(Rechner!$A$12:$A$21,A2094,Rechner!$B$12:$B$21))</f>
        <v/>
      </c>
      <c r="G2094">
        <f>H2093+E2094</f>
        <v/>
      </c>
      <c r="H2094">
        <f>G2094-MIN(F2094,G2094)</f>
        <v/>
      </c>
      <c r="I2094">
        <f>MIN(F2094-MIN(F2094,G2094),D2094)</f>
        <v/>
      </c>
      <c r="J2094">
        <f>D2094-I2094</f>
        <v/>
      </c>
      <c r="K2094">
        <f>F2094-MIN(F2094,G2094)-I2094</f>
        <v/>
      </c>
    </row>
    <row r="2095">
      <c r="A2095" s="21">
        <f>IF(Rechner!$E$4&lt;&gt;"ok","",IF(Rechner!$E$5+2093&lt;=Rechner!$B$6,Rechner!$E$5+2093,""))</f>
        <v/>
      </c>
      <c r="B2095">
        <f>IF(A2095="","",LOOKUP(A2095,Basiszins!$A$5:$A$18,Basiszins!$B$5:$B$18))</f>
        <v/>
      </c>
      <c r="C2095">
        <f>IF(A2095="","",B2095+Rechner!$E$7)</f>
        <v/>
      </c>
      <c r="D2095">
        <f>J2094</f>
        <v/>
      </c>
      <c r="E2095">
        <f>IF(A2095="",0,D2095*C2095/100/(DATE(YEAR(A2095)+1,1,1)-DATE(YEAR(A2095),1,1)))</f>
        <v/>
      </c>
      <c r="F2095">
        <f>IF(A2095="",0,SUMIF(Rechner!$A$12:$A$21,A2095,Rechner!$B$12:$B$21))</f>
        <v/>
      </c>
      <c r="G2095">
        <f>H2094+E2095</f>
        <v/>
      </c>
      <c r="H2095">
        <f>G2095-MIN(F2095,G2095)</f>
        <v/>
      </c>
      <c r="I2095">
        <f>MIN(F2095-MIN(F2095,G2095),D2095)</f>
        <v/>
      </c>
      <c r="J2095">
        <f>D2095-I2095</f>
        <v/>
      </c>
      <c r="K2095">
        <f>F2095-MIN(F2095,G2095)-I2095</f>
        <v/>
      </c>
    </row>
    <row r="2096">
      <c r="A2096" s="21">
        <f>IF(Rechner!$E$4&lt;&gt;"ok","",IF(Rechner!$E$5+2094&lt;=Rechner!$B$6,Rechner!$E$5+2094,""))</f>
        <v/>
      </c>
      <c r="B2096">
        <f>IF(A2096="","",LOOKUP(A2096,Basiszins!$A$5:$A$18,Basiszins!$B$5:$B$18))</f>
        <v/>
      </c>
      <c r="C2096">
        <f>IF(A2096="","",B2096+Rechner!$E$7)</f>
        <v/>
      </c>
      <c r="D2096">
        <f>J2095</f>
        <v/>
      </c>
      <c r="E2096">
        <f>IF(A2096="",0,D2096*C2096/100/(DATE(YEAR(A2096)+1,1,1)-DATE(YEAR(A2096),1,1)))</f>
        <v/>
      </c>
      <c r="F2096">
        <f>IF(A2096="",0,SUMIF(Rechner!$A$12:$A$21,A2096,Rechner!$B$12:$B$21))</f>
        <v/>
      </c>
      <c r="G2096">
        <f>H2095+E2096</f>
        <v/>
      </c>
      <c r="H2096">
        <f>G2096-MIN(F2096,G2096)</f>
        <v/>
      </c>
      <c r="I2096">
        <f>MIN(F2096-MIN(F2096,G2096),D2096)</f>
        <v/>
      </c>
      <c r="J2096">
        <f>D2096-I2096</f>
        <v/>
      </c>
      <c r="K2096">
        <f>F2096-MIN(F2096,G2096)-I2096</f>
        <v/>
      </c>
    </row>
    <row r="2097">
      <c r="A2097" s="21">
        <f>IF(Rechner!$E$4&lt;&gt;"ok","",IF(Rechner!$E$5+2095&lt;=Rechner!$B$6,Rechner!$E$5+2095,""))</f>
        <v/>
      </c>
      <c r="B2097">
        <f>IF(A2097="","",LOOKUP(A2097,Basiszins!$A$5:$A$18,Basiszins!$B$5:$B$18))</f>
        <v/>
      </c>
      <c r="C2097">
        <f>IF(A2097="","",B2097+Rechner!$E$7)</f>
        <v/>
      </c>
      <c r="D2097">
        <f>J2096</f>
        <v/>
      </c>
      <c r="E2097">
        <f>IF(A2097="",0,D2097*C2097/100/(DATE(YEAR(A2097)+1,1,1)-DATE(YEAR(A2097),1,1)))</f>
        <v/>
      </c>
      <c r="F2097">
        <f>IF(A2097="",0,SUMIF(Rechner!$A$12:$A$21,A2097,Rechner!$B$12:$B$21))</f>
        <v/>
      </c>
      <c r="G2097">
        <f>H2096+E2097</f>
        <v/>
      </c>
      <c r="H2097">
        <f>G2097-MIN(F2097,G2097)</f>
        <v/>
      </c>
      <c r="I2097">
        <f>MIN(F2097-MIN(F2097,G2097),D2097)</f>
        <v/>
      </c>
      <c r="J2097">
        <f>D2097-I2097</f>
        <v/>
      </c>
      <c r="K2097">
        <f>F2097-MIN(F2097,G2097)-I2097</f>
        <v/>
      </c>
    </row>
    <row r="2098">
      <c r="A2098" s="21">
        <f>IF(Rechner!$E$4&lt;&gt;"ok","",IF(Rechner!$E$5+2096&lt;=Rechner!$B$6,Rechner!$E$5+2096,""))</f>
        <v/>
      </c>
      <c r="B2098">
        <f>IF(A2098="","",LOOKUP(A2098,Basiszins!$A$5:$A$18,Basiszins!$B$5:$B$18))</f>
        <v/>
      </c>
      <c r="C2098">
        <f>IF(A2098="","",B2098+Rechner!$E$7)</f>
        <v/>
      </c>
      <c r="D2098">
        <f>J2097</f>
        <v/>
      </c>
      <c r="E2098">
        <f>IF(A2098="",0,D2098*C2098/100/(DATE(YEAR(A2098)+1,1,1)-DATE(YEAR(A2098),1,1)))</f>
        <v/>
      </c>
      <c r="F2098">
        <f>IF(A2098="",0,SUMIF(Rechner!$A$12:$A$21,A2098,Rechner!$B$12:$B$21))</f>
        <v/>
      </c>
      <c r="G2098">
        <f>H2097+E2098</f>
        <v/>
      </c>
      <c r="H2098">
        <f>G2098-MIN(F2098,G2098)</f>
        <v/>
      </c>
      <c r="I2098">
        <f>MIN(F2098-MIN(F2098,G2098),D2098)</f>
        <v/>
      </c>
      <c r="J2098">
        <f>D2098-I2098</f>
        <v/>
      </c>
      <c r="K2098">
        <f>F2098-MIN(F2098,G2098)-I2098</f>
        <v/>
      </c>
    </row>
    <row r="2099">
      <c r="A2099" s="21">
        <f>IF(Rechner!$E$4&lt;&gt;"ok","",IF(Rechner!$E$5+2097&lt;=Rechner!$B$6,Rechner!$E$5+2097,""))</f>
        <v/>
      </c>
      <c r="B2099">
        <f>IF(A2099="","",LOOKUP(A2099,Basiszins!$A$5:$A$18,Basiszins!$B$5:$B$18))</f>
        <v/>
      </c>
      <c r="C2099">
        <f>IF(A2099="","",B2099+Rechner!$E$7)</f>
        <v/>
      </c>
      <c r="D2099">
        <f>J2098</f>
        <v/>
      </c>
      <c r="E2099">
        <f>IF(A2099="",0,D2099*C2099/100/(DATE(YEAR(A2099)+1,1,1)-DATE(YEAR(A2099),1,1)))</f>
        <v/>
      </c>
      <c r="F2099">
        <f>IF(A2099="",0,SUMIF(Rechner!$A$12:$A$21,A2099,Rechner!$B$12:$B$21))</f>
        <v/>
      </c>
      <c r="G2099">
        <f>H2098+E2099</f>
        <v/>
      </c>
      <c r="H2099">
        <f>G2099-MIN(F2099,G2099)</f>
        <v/>
      </c>
      <c r="I2099">
        <f>MIN(F2099-MIN(F2099,G2099),D2099)</f>
        <v/>
      </c>
      <c r="J2099">
        <f>D2099-I2099</f>
        <v/>
      </c>
      <c r="K2099">
        <f>F2099-MIN(F2099,G2099)-I2099</f>
        <v/>
      </c>
    </row>
    <row r="2100">
      <c r="A2100" s="21">
        <f>IF(Rechner!$E$4&lt;&gt;"ok","",IF(Rechner!$E$5+2098&lt;=Rechner!$B$6,Rechner!$E$5+2098,""))</f>
        <v/>
      </c>
      <c r="B2100">
        <f>IF(A2100="","",LOOKUP(A2100,Basiszins!$A$5:$A$18,Basiszins!$B$5:$B$18))</f>
        <v/>
      </c>
      <c r="C2100">
        <f>IF(A2100="","",B2100+Rechner!$E$7)</f>
        <v/>
      </c>
      <c r="D2100">
        <f>J2099</f>
        <v/>
      </c>
      <c r="E2100">
        <f>IF(A2100="",0,D2100*C2100/100/(DATE(YEAR(A2100)+1,1,1)-DATE(YEAR(A2100),1,1)))</f>
        <v/>
      </c>
      <c r="F2100">
        <f>IF(A2100="",0,SUMIF(Rechner!$A$12:$A$21,A2100,Rechner!$B$12:$B$21))</f>
        <v/>
      </c>
      <c r="G2100">
        <f>H2099+E2100</f>
        <v/>
      </c>
      <c r="H2100">
        <f>G2100-MIN(F2100,G2100)</f>
        <v/>
      </c>
      <c r="I2100">
        <f>MIN(F2100-MIN(F2100,G2100),D2100)</f>
        <v/>
      </c>
      <c r="J2100">
        <f>D2100-I2100</f>
        <v/>
      </c>
      <c r="K2100">
        <f>F2100-MIN(F2100,G2100)-I2100</f>
        <v/>
      </c>
    </row>
    <row r="2101">
      <c r="A2101" s="21">
        <f>IF(Rechner!$E$4&lt;&gt;"ok","",IF(Rechner!$E$5+2099&lt;=Rechner!$B$6,Rechner!$E$5+2099,""))</f>
        <v/>
      </c>
      <c r="B2101">
        <f>IF(A2101="","",LOOKUP(A2101,Basiszins!$A$5:$A$18,Basiszins!$B$5:$B$18))</f>
        <v/>
      </c>
      <c r="C2101">
        <f>IF(A2101="","",B2101+Rechner!$E$7)</f>
        <v/>
      </c>
      <c r="D2101">
        <f>J2100</f>
        <v/>
      </c>
      <c r="E2101">
        <f>IF(A2101="",0,D2101*C2101/100/(DATE(YEAR(A2101)+1,1,1)-DATE(YEAR(A2101),1,1)))</f>
        <v/>
      </c>
      <c r="F2101">
        <f>IF(A2101="",0,SUMIF(Rechner!$A$12:$A$21,A2101,Rechner!$B$12:$B$21))</f>
        <v/>
      </c>
      <c r="G2101">
        <f>H2100+E2101</f>
        <v/>
      </c>
      <c r="H2101">
        <f>G2101-MIN(F2101,G2101)</f>
        <v/>
      </c>
      <c r="I2101">
        <f>MIN(F2101-MIN(F2101,G2101),D2101)</f>
        <v/>
      </c>
      <c r="J2101">
        <f>D2101-I2101</f>
        <v/>
      </c>
      <c r="K2101">
        <f>F2101-MIN(F2101,G2101)-I2101</f>
        <v/>
      </c>
    </row>
    <row r="2102">
      <c r="A2102" s="21">
        <f>IF(Rechner!$E$4&lt;&gt;"ok","",IF(Rechner!$E$5+2100&lt;=Rechner!$B$6,Rechner!$E$5+2100,""))</f>
        <v/>
      </c>
      <c r="B2102">
        <f>IF(A2102="","",LOOKUP(A2102,Basiszins!$A$5:$A$18,Basiszins!$B$5:$B$18))</f>
        <v/>
      </c>
      <c r="C2102">
        <f>IF(A2102="","",B2102+Rechner!$E$7)</f>
        <v/>
      </c>
      <c r="D2102">
        <f>J2101</f>
        <v/>
      </c>
      <c r="E2102">
        <f>IF(A2102="",0,D2102*C2102/100/(DATE(YEAR(A2102)+1,1,1)-DATE(YEAR(A2102),1,1)))</f>
        <v/>
      </c>
      <c r="F2102">
        <f>IF(A2102="",0,SUMIF(Rechner!$A$12:$A$21,A2102,Rechner!$B$12:$B$21))</f>
        <v/>
      </c>
      <c r="G2102">
        <f>H2101+E2102</f>
        <v/>
      </c>
      <c r="H2102">
        <f>G2102-MIN(F2102,G2102)</f>
        <v/>
      </c>
      <c r="I2102">
        <f>MIN(F2102-MIN(F2102,G2102),D2102)</f>
        <v/>
      </c>
      <c r="J2102">
        <f>D2102-I2102</f>
        <v/>
      </c>
      <c r="K2102">
        <f>F2102-MIN(F2102,G2102)-I2102</f>
        <v/>
      </c>
    </row>
    <row r="2103">
      <c r="A2103" s="21">
        <f>IF(Rechner!$E$4&lt;&gt;"ok","",IF(Rechner!$E$5+2101&lt;=Rechner!$B$6,Rechner!$E$5+2101,""))</f>
        <v/>
      </c>
      <c r="B2103">
        <f>IF(A2103="","",LOOKUP(A2103,Basiszins!$A$5:$A$18,Basiszins!$B$5:$B$18))</f>
        <v/>
      </c>
      <c r="C2103">
        <f>IF(A2103="","",B2103+Rechner!$E$7)</f>
        <v/>
      </c>
      <c r="D2103">
        <f>J2102</f>
        <v/>
      </c>
      <c r="E2103">
        <f>IF(A2103="",0,D2103*C2103/100/(DATE(YEAR(A2103)+1,1,1)-DATE(YEAR(A2103),1,1)))</f>
        <v/>
      </c>
      <c r="F2103">
        <f>IF(A2103="",0,SUMIF(Rechner!$A$12:$A$21,A2103,Rechner!$B$12:$B$21))</f>
        <v/>
      </c>
      <c r="G2103">
        <f>H2102+E2103</f>
        <v/>
      </c>
      <c r="H2103">
        <f>G2103-MIN(F2103,G2103)</f>
        <v/>
      </c>
      <c r="I2103">
        <f>MIN(F2103-MIN(F2103,G2103),D2103)</f>
        <v/>
      </c>
      <c r="J2103">
        <f>D2103-I2103</f>
        <v/>
      </c>
      <c r="K2103">
        <f>F2103-MIN(F2103,G2103)-I2103</f>
        <v/>
      </c>
    </row>
    <row r="2104">
      <c r="A2104" s="21">
        <f>IF(Rechner!$E$4&lt;&gt;"ok","",IF(Rechner!$E$5+2102&lt;=Rechner!$B$6,Rechner!$E$5+2102,""))</f>
        <v/>
      </c>
      <c r="B2104">
        <f>IF(A2104="","",LOOKUP(A2104,Basiszins!$A$5:$A$18,Basiszins!$B$5:$B$18))</f>
        <v/>
      </c>
      <c r="C2104">
        <f>IF(A2104="","",B2104+Rechner!$E$7)</f>
        <v/>
      </c>
      <c r="D2104">
        <f>J2103</f>
        <v/>
      </c>
      <c r="E2104">
        <f>IF(A2104="",0,D2104*C2104/100/(DATE(YEAR(A2104)+1,1,1)-DATE(YEAR(A2104),1,1)))</f>
        <v/>
      </c>
      <c r="F2104">
        <f>IF(A2104="",0,SUMIF(Rechner!$A$12:$A$21,A2104,Rechner!$B$12:$B$21))</f>
        <v/>
      </c>
      <c r="G2104">
        <f>H2103+E2104</f>
        <v/>
      </c>
      <c r="H2104">
        <f>G2104-MIN(F2104,G2104)</f>
        <v/>
      </c>
      <c r="I2104">
        <f>MIN(F2104-MIN(F2104,G2104),D2104)</f>
        <v/>
      </c>
      <c r="J2104">
        <f>D2104-I2104</f>
        <v/>
      </c>
      <c r="K2104">
        <f>F2104-MIN(F2104,G2104)-I2104</f>
        <v/>
      </c>
    </row>
    <row r="2105">
      <c r="A2105" s="21">
        <f>IF(Rechner!$E$4&lt;&gt;"ok","",IF(Rechner!$E$5+2103&lt;=Rechner!$B$6,Rechner!$E$5+2103,""))</f>
        <v/>
      </c>
      <c r="B2105">
        <f>IF(A2105="","",LOOKUP(A2105,Basiszins!$A$5:$A$18,Basiszins!$B$5:$B$18))</f>
        <v/>
      </c>
      <c r="C2105">
        <f>IF(A2105="","",B2105+Rechner!$E$7)</f>
        <v/>
      </c>
      <c r="D2105">
        <f>J2104</f>
        <v/>
      </c>
      <c r="E2105">
        <f>IF(A2105="",0,D2105*C2105/100/(DATE(YEAR(A2105)+1,1,1)-DATE(YEAR(A2105),1,1)))</f>
        <v/>
      </c>
      <c r="F2105">
        <f>IF(A2105="",0,SUMIF(Rechner!$A$12:$A$21,A2105,Rechner!$B$12:$B$21))</f>
        <v/>
      </c>
      <c r="G2105">
        <f>H2104+E2105</f>
        <v/>
      </c>
      <c r="H2105">
        <f>G2105-MIN(F2105,G2105)</f>
        <v/>
      </c>
      <c r="I2105">
        <f>MIN(F2105-MIN(F2105,G2105),D2105)</f>
        <v/>
      </c>
      <c r="J2105">
        <f>D2105-I2105</f>
        <v/>
      </c>
      <c r="K2105">
        <f>F2105-MIN(F2105,G2105)-I2105</f>
        <v/>
      </c>
    </row>
    <row r="2106">
      <c r="A2106" s="21">
        <f>IF(Rechner!$E$4&lt;&gt;"ok","",IF(Rechner!$E$5+2104&lt;=Rechner!$B$6,Rechner!$E$5+2104,""))</f>
        <v/>
      </c>
      <c r="B2106">
        <f>IF(A2106="","",LOOKUP(A2106,Basiszins!$A$5:$A$18,Basiszins!$B$5:$B$18))</f>
        <v/>
      </c>
      <c r="C2106">
        <f>IF(A2106="","",B2106+Rechner!$E$7)</f>
        <v/>
      </c>
      <c r="D2106">
        <f>J2105</f>
        <v/>
      </c>
      <c r="E2106">
        <f>IF(A2106="",0,D2106*C2106/100/(DATE(YEAR(A2106)+1,1,1)-DATE(YEAR(A2106),1,1)))</f>
        <v/>
      </c>
      <c r="F2106">
        <f>IF(A2106="",0,SUMIF(Rechner!$A$12:$A$21,A2106,Rechner!$B$12:$B$21))</f>
        <v/>
      </c>
      <c r="G2106">
        <f>H2105+E2106</f>
        <v/>
      </c>
      <c r="H2106">
        <f>G2106-MIN(F2106,G2106)</f>
        <v/>
      </c>
      <c r="I2106">
        <f>MIN(F2106-MIN(F2106,G2106),D2106)</f>
        <v/>
      </c>
      <c r="J2106">
        <f>D2106-I2106</f>
        <v/>
      </c>
      <c r="K2106">
        <f>F2106-MIN(F2106,G2106)-I2106</f>
        <v/>
      </c>
    </row>
    <row r="2107">
      <c r="A2107" s="21">
        <f>IF(Rechner!$E$4&lt;&gt;"ok","",IF(Rechner!$E$5+2105&lt;=Rechner!$B$6,Rechner!$E$5+2105,""))</f>
        <v/>
      </c>
      <c r="B2107">
        <f>IF(A2107="","",LOOKUP(A2107,Basiszins!$A$5:$A$18,Basiszins!$B$5:$B$18))</f>
        <v/>
      </c>
      <c r="C2107">
        <f>IF(A2107="","",B2107+Rechner!$E$7)</f>
        <v/>
      </c>
      <c r="D2107">
        <f>J2106</f>
        <v/>
      </c>
      <c r="E2107">
        <f>IF(A2107="",0,D2107*C2107/100/(DATE(YEAR(A2107)+1,1,1)-DATE(YEAR(A2107),1,1)))</f>
        <v/>
      </c>
      <c r="F2107">
        <f>IF(A2107="",0,SUMIF(Rechner!$A$12:$A$21,A2107,Rechner!$B$12:$B$21))</f>
        <v/>
      </c>
      <c r="G2107">
        <f>H2106+E2107</f>
        <v/>
      </c>
      <c r="H2107">
        <f>G2107-MIN(F2107,G2107)</f>
        <v/>
      </c>
      <c r="I2107">
        <f>MIN(F2107-MIN(F2107,G2107),D2107)</f>
        <v/>
      </c>
      <c r="J2107">
        <f>D2107-I2107</f>
        <v/>
      </c>
      <c r="K2107">
        <f>F2107-MIN(F2107,G2107)-I2107</f>
        <v/>
      </c>
    </row>
    <row r="2108">
      <c r="A2108" s="21">
        <f>IF(Rechner!$E$4&lt;&gt;"ok","",IF(Rechner!$E$5+2106&lt;=Rechner!$B$6,Rechner!$E$5+2106,""))</f>
        <v/>
      </c>
      <c r="B2108">
        <f>IF(A2108="","",LOOKUP(A2108,Basiszins!$A$5:$A$18,Basiszins!$B$5:$B$18))</f>
        <v/>
      </c>
      <c r="C2108">
        <f>IF(A2108="","",B2108+Rechner!$E$7)</f>
        <v/>
      </c>
      <c r="D2108">
        <f>J2107</f>
        <v/>
      </c>
      <c r="E2108">
        <f>IF(A2108="",0,D2108*C2108/100/(DATE(YEAR(A2108)+1,1,1)-DATE(YEAR(A2108),1,1)))</f>
        <v/>
      </c>
      <c r="F2108">
        <f>IF(A2108="",0,SUMIF(Rechner!$A$12:$A$21,A2108,Rechner!$B$12:$B$21))</f>
        <v/>
      </c>
      <c r="G2108">
        <f>H2107+E2108</f>
        <v/>
      </c>
      <c r="H2108">
        <f>G2108-MIN(F2108,G2108)</f>
        <v/>
      </c>
      <c r="I2108">
        <f>MIN(F2108-MIN(F2108,G2108),D2108)</f>
        <v/>
      </c>
      <c r="J2108">
        <f>D2108-I2108</f>
        <v/>
      </c>
      <c r="K2108">
        <f>F2108-MIN(F2108,G2108)-I2108</f>
        <v/>
      </c>
    </row>
    <row r="2109">
      <c r="A2109" s="21">
        <f>IF(Rechner!$E$4&lt;&gt;"ok","",IF(Rechner!$E$5+2107&lt;=Rechner!$B$6,Rechner!$E$5+2107,""))</f>
        <v/>
      </c>
      <c r="B2109">
        <f>IF(A2109="","",LOOKUP(A2109,Basiszins!$A$5:$A$18,Basiszins!$B$5:$B$18))</f>
        <v/>
      </c>
      <c r="C2109">
        <f>IF(A2109="","",B2109+Rechner!$E$7)</f>
        <v/>
      </c>
      <c r="D2109">
        <f>J2108</f>
        <v/>
      </c>
      <c r="E2109">
        <f>IF(A2109="",0,D2109*C2109/100/(DATE(YEAR(A2109)+1,1,1)-DATE(YEAR(A2109),1,1)))</f>
        <v/>
      </c>
      <c r="F2109">
        <f>IF(A2109="",0,SUMIF(Rechner!$A$12:$A$21,A2109,Rechner!$B$12:$B$21))</f>
        <v/>
      </c>
      <c r="G2109">
        <f>H2108+E2109</f>
        <v/>
      </c>
      <c r="H2109">
        <f>G2109-MIN(F2109,G2109)</f>
        <v/>
      </c>
      <c r="I2109">
        <f>MIN(F2109-MIN(F2109,G2109),D2109)</f>
        <v/>
      </c>
      <c r="J2109">
        <f>D2109-I2109</f>
        <v/>
      </c>
      <c r="K2109">
        <f>F2109-MIN(F2109,G2109)-I2109</f>
        <v/>
      </c>
    </row>
    <row r="2110">
      <c r="A2110" s="21">
        <f>IF(Rechner!$E$4&lt;&gt;"ok","",IF(Rechner!$E$5+2108&lt;=Rechner!$B$6,Rechner!$E$5+2108,""))</f>
        <v/>
      </c>
      <c r="B2110">
        <f>IF(A2110="","",LOOKUP(A2110,Basiszins!$A$5:$A$18,Basiszins!$B$5:$B$18))</f>
        <v/>
      </c>
      <c r="C2110">
        <f>IF(A2110="","",B2110+Rechner!$E$7)</f>
        <v/>
      </c>
      <c r="D2110">
        <f>J2109</f>
        <v/>
      </c>
      <c r="E2110">
        <f>IF(A2110="",0,D2110*C2110/100/(DATE(YEAR(A2110)+1,1,1)-DATE(YEAR(A2110),1,1)))</f>
        <v/>
      </c>
      <c r="F2110">
        <f>IF(A2110="",0,SUMIF(Rechner!$A$12:$A$21,A2110,Rechner!$B$12:$B$21))</f>
        <v/>
      </c>
      <c r="G2110">
        <f>H2109+E2110</f>
        <v/>
      </c>
      <c r="H2110">
        <f>G2110-MIN(F2110,G2110)</f>
        <v/>
      </c>
      <c r="I2110">
        <f>MIN(F2110-MIN(F2110,G2110),D2110)</f>
        <v/>
      </c>
      <c r="J2110">
        <f>D2110-I2110</f>
        <v/>
      </c>
      <c r="K2110">
        <f>F2110-MIN(F2110,G2110)-I2110</f>
        <v/>
      </c>
    </row>
    <row r="2111">
      <c r="A2111" s="21">
        <f>IF(Rechner!$E$4&lt;&gt;"ok","",IF(Rechner!$E$5+2109&lt;=Rechner!$B$6,Rechner!$E$5+2109,""))</f>
        <v/>
      </c>
      <c r="B2111">
        <f>IF(A2111="","",LOOKUP(A2111,Basiszins!$A$5:$A$18,Basiszins!$B$5:$B$18))</f>
        <v/>
      </c>
      <c r="C2111">
        <f>IF(A2111="","",B2111+Rechner!$E$7)</f>
        <v/>
      </c>
      <c r="D2111">
        <f>J2110</f>
        <v/>
      </c>
      <c r="E2111">
        <f>IF(A2111="",0,D2111*C2111/100/(DATE(YEAR(A2111)+1,1,1)-DATE(YEAR(A2111),1,1)))</f>
        <v/>
      </c>
      <c r="F2111">
        <f>IF(A2111="",0,SUMIF(Rechner!$A$12:$A$21,A2111,Rechner!$B$12:$B$21))</f>
        <v/>
      </c>
      <c r="G2111">
        <f>H2110+E2111</f>
        <v/>
      </c>
      <c r="H2111">
        <f>G2111-MIN(F2111,G2111)</f>
        <v/>
      </c>
      <c r="I2111">
        <f>MIN(F2111-MIN(F2111,G2111),D2111)</f>
        <v/>
      </c>
      <c r="J2111">
        <f>D2111-I2111</f>
        <v/>
      </c>
      <c r="K2111">
        <f>F2111-MIN(F2111,G2111)-I2111</f>
        <v/>
      </c>
    </row>
    <row r="2112">
      <c r="A2112" s="21">
        <f>IF(Rechner!$E$4&lt;&gt;"ok","",IF(Rechner!$E$5+2110&lt;=Rechner!$B$6,Rechner!$E$5+2110,""))</f>
        <v/>
      </c>
      <c r="B2112">
        <f>IF(A2112="","",LOOKUP(A2112,Basiszins!$A$5:$A$18,Basiszins!$B$5:$B$18))</f>
        <v/>
      </c>
      <c r="C2112">
        <f>IF(A2112="","",B2112+Rechner!$E$7)</f>
        <v/>
      </c>
      <c r="D2112">
        <f>J2111</f>
        <v/>
      </c>
      <c r="E2112">
        <f>IF(A2112="",0,D2112*C2112/100/(DATE(YEAR(A2112)+1,1,1)-DATE(YEAR(A2112),1,1)))</f>
        <v/>
      </c>
      <c r="F2112">
        <f>IF(A2112="",0,SUMIF(Rechner!$A$12:$A$21,A2112,Rechner!$B$12:$B$21))</f>
        <v/>
      </c>
      <c r="G2112">
        <f>H2111+E2112</f>
        <v/>
      </c>
      <c r="H2112">
        <f>G2112-MIN(F2112,G2112)</f>
        <v/>
      </c>
      <c r="I2112">
        <f>MIN(F2112-MIN(F2112,G2112),D2112)</f>
        <v/>
      </c>
      <c r="J2112">
        <f>D2112-I2112</f>
        <v/>
      </c>
      <c r="K2112">
        <f>F2112-MIN(F2112,G2112)-I2112</f>
        <v/>
      </c>
    </row>
    <row r="2113">
      <c r="A2113" s="21">
        <f>IF(Rechner!$E$4&lt;&gt;"ok","",IF(Rechner!$E$5+2111&lt;=Rechner!$B$6,Rechner!$E$5+2111,""))</f>
        <v/>
      </c>
      <c r="B2113">
        <f>IF(A2113="","",LOOKUP(A2113,Basiszins!$A$5:$A$18,Basiszins!$B$5:$B$18))</f>
        <v/>
      </c>
      <c r="C2113">
        <f>IF(A2113="","",B2113+Rechner!$E$7)</f>
        <v/>
      </c>
      <c r="D2113">
        <f>J2112</f>
        <v/>
      </c>
      <c r="E2113">
        <f>IF(A2113="",0,D2113*C2113/100/(DATE(YEAR(A2113)+1,1,1)-DATE(YEAR(A2113),1,1)))</f>
        <v/>
      </c>
      <c r="F2113">
        <f>IF(A2113="",0,SUMIF(Rechner!$A$12:$A$21,A2113,Rechner!$B$12:$B$21))</f>
        <v/>
      </c>
      <c r="G2113">
        <f>H2112+E2113</f>
        <v/>
      </c>
      <c r="H2113">
        <f>G2113-MIN(F2113,G2113)</f>
        <v/>
      </c>
      <c r="I2113">
        <f>MIN(F2113-MIN(F2113,G2113),D2113)</f>
        <v/>
      </c>
      <c r="J2113">
        <f>D2113-I2113</f>
        <v/>
      </c>
      <c r="K2113">
        <f>F2113-MIN(F2113,G2113)-I2113</f>
        <v/>
      </c>
    </row>
    <row r="2114">
      <c r="A2114" s="21">
        <f>IF(Rechner!$E$4&lt;&gt;"ok","",IF(Rechner!$E$5+2112&lt;=Rechner!$B$6,Rechner!$E$5+2112,""))</f>
        <v/>
      </c>
      <c r="B2114">
        <f>IF(A2114="","",LOOKUP(A2114,Basiszins!$A$5:$A$18,Basiszins!$B$5:$B$18))</f>
        <v/>
      </c>
      <c r="C2114">
        <f>IF(A2114="","",B2114+Rechner!$E$7)</f>
        <v/>
      </c>
      <c r="D2114">
        <f>J2113</f>
        <v/>
      </c>
      <c r="E2114">
        <f>IF(A2114="",0,D2114*C2114/100/(DATE(YEAR(A2114)+1,1,1)-DATE(YEAR(A2114),1,1)))</f>
        <v/>
      </c>
      <c r="F2114">
        <f>IF(A2114="",0,SUMIF(Rechner!$A$12:$A$21,A2114,Rechner!$B$12:$B$21))</f>
        <v/>
      </c>
      <c r="G2114">
        <f>H2113+E2114</f>
        <v/>
      </c>
      <c r="H2114">
        <f>G2114-MIN(F2114,G2114)</f>
        <v/>
      </c>
      <c r="I2114">
        <f>MIN(F2114-MIN(F2114,G2114),D2114)</f>
        <v/>
      </c>
      <c r="J2114">
        <f>D2114-I2114</f>
        <v/>
      </c>
      <c r="K2114">
        <f>F2114-MIN(F2114,G2114)-I2114</f>
        <v/>
      </c>
    </row>
    <row r="2115">
      <c r="A2115" s="21">
        <f>IF(Rechner!$E$4&lt;&gt;"ok","",IF(Rechner!$E$5+2113&lt;=Rechner!$B$6,Rechner!$E$5+2113,""))</f>
        <v/>
      </c>
      <c r="B2115">
        <f>IF(A2115="","",LOOKUP(A2115,Basiszins!$A$5:$A$18,Basiszins!$B$5:$B$18))</f>
        <v/>
      </c>
      <c r="C2115">
        <f>IF(A2115="","",B2115+Rechner!$E$7)</f>
        <v/>
      </c>
      <c r="D2115">
        <f>J2114</f>
        <v/>
      </c>
      <c r="E2115">
        <f>IF(A2115="",0,D2115*C2115/100/(DATE(YEAR(A2115)+1,1,1)-DATE(YEAR(A2115),1,1)))</f>
        <v/>
      </c>
      <c r="F2115">
        <f>IF(A2115="",0,SUMIF(Rechner!$A$12:$A$21,A2115,Rechner!$B$12:$B$21))</f>
        <v/>
      </c>
      <c r="G2115">
        <f>H2114+E2115</f>
        <v/>
      </c>
      <c r="H2115">
        <f>G2115-MIN(F2115,G2115)</f>
        <v/>
      </c>
      <c r="I2115">
        <f>MIN(F2115-MIN(F2115,G2115),D2115)</f>
        <v/>
      </c>
      <c r="J2115">
        <f>D2115-I2115</f>
        <v/>
      </c>
      <c r="K2115">
        <f>F2115-MIN(F2115,G2115)-I2115</f>
        <v/>
      </c>
    </row>
    <row r="2116">
      <c r="A2116" s="21">
        <f>IF(Rechner!$E$4&lt;&gt;"ok","",IF(Rechner!$E$5+2114&lt;=Rechner!$B$6,Rechner!$E$5+2114,""))</f>
        <v/>
      </c>
      <c r="B2116">
        <f>IF(A2116="","",LOOKUP(A2116,Basiszins!$A$5:$A$18,Basiszins!$B$5:$B$18))</f>
        <v/>
      </c>
      <c r="C2116">
        <f>IF(A2116="","",B2116+Rechner!$E$7)</f>
        <v/>
      </c>
      <c r="D2116">
        <f>J2115</f>
        <v/>
      </c>
      <c r="E2116">
        <f>IF(A2116="",0,D2116*C2116/100/(DATE(YEAR(A2116)+1,1,1)-DATE(YEAR(A2116),1,1)))</f>
        <v/>
      </c>
      <c r="F2116">
        <f>IF(A2116="",0,SUMIF(Rechner!$A$12:$A$21,A2116,Rechner!$B$12:$B$21))</f>
        <v/>
      </c>
      <c r="G2116">
        <f>H2115+E2116</f>
        <v/>
      </c>
      <c r="H2116">
        <f>G2116-MIN(F2116,G2116)</f>
        <v/>
      </c>
      <c r="I2116">
        <f>MIN(F2116-MIN(F2116,G2116),D2116)</f>
        <v/>
      </c>
      <c r="J2116">
        <f>D2116-I2116</f>
        <v/>
      </c>
      <c r="K2116">
        <f>F2116-MIN(F2116,G2116)-I2116</f>
        <v/>
      </c>
    </row>
    <row r="2117">
      <c r="A2117" s="21">
        <f>IF(Rechner!$E$4&lt;&gt;"ok","",IF(Rechner!$E$5+2115&lt;=Rechner!$B$6,Rechner!$E$5+2115,""))</f>
        <v/>
      </c>
      <c r="B2117">
        <f>IF(A2117="","",LOOKUP(A2117,Basiszins!$A$5:$A$18,Basiszins!$B$5:$B$18))</f>
        <v/>
      </c>
      <c r="C2117">
        <f>IF(A2117="","",B2117+Rechner!$E$7)</f>
        <v/>
      </c>
      <c r="D2117">
        <f>J2116</f>
        <v/>
      </c>
      <c r="E2117">
        <f>IF(A2117="",0,D2117*C2117/100/(DATE(YEAR(A2117)+1,1,1)-DATE(YEAR(A2117),1,1)))</f>
        <v/>
      </c>
      <c r="F2117">
        <f>IF(A2117="",0,SUMIF(Rechner!$A$12:$A$21,A2117,Rechner!$B$12:$B$21))</f>
        <v/>
      </c>
      <c r="G2117">
        <f>H2116+E2117</f>
        <v/>
      </c>
      <c r="H2117">
        <f>G2117-MIN(F2117,G2117)</f>
        <v/>
      </c>
      <c r="I2117">
        <f>MIN(F2117-MIN(F2117,G2117),D2117)</f>
        <v/>
      </c>
      <c r="J2117">
        <f>D2117-I2117</f>
        <v/>
      </c>
      <c r="K2117">
        <f>F2117-MIN(F2117,G2117)-I2117</f>
        <v/>
      </c>
    </row>
    <row r="2118">
      <c r="A2118" s="21">
        <f>IF(Rechner!$E$4&lt;&gt;"ok","",IF(Rechner!$E$5+2116&lt;=Rechner!$B$6,Rechner!$E$5+2116,""))</f>
        <v/>
      </c>
      <c r="B2118">
        <f>IF(A2118="","",LOOKUP(A2118,Basiszins!$A$5:$A$18,Basiszins!$B$5:$B$18))</f>
        <v/>
      </c>
      <c r="C2118">
        <f>IF(A2118="","",B2118+Rechner!$E$7)</f>
        <v/>
      </c>
      <c r="D2118">
        <f>J2117</f>
        <v/>
      </c>
      <c r="E2118">
        <f>IF(A2118="",0,D2118*C2118/100/(DATE(YEAR(A2118)+1,1,1)-DATE(YEAR(A2118),1,1)))</f>
        <v/>
      </c>
      <c r="F2118">
        <f>IF(A2118="",0,SUMIF(Rechner!$A$12:$A$21,A2118,Rechner!$B$12:$B$21))</f>
        <v/>
      </c>
      <c r="G2118">
        <f>H2117+E2118</f>
        <v/>
      </c>
      <c r="H2118">
        <f>G2118-MIN(F2118,G2118)</f>
        <v/>
      </c>
      <c r="I2118">
        <f>MIN(F2118-MIN(F2118,G2118),D2118)</f>
        <v/>
      </c>
      <c r="J2118">
        <f>D2118-I2118</f>
        <v/>
      </c>
      <c r="K2118">
        <f>F2118-MIN(F2118,G2118)-I2118</f>
        <v/>
      </c>
    </row>
    <row r="2119">
      <c r="A2119" s="21">
        <f>IF(Rechner!$E$4&lt;&gt;"ok","",IF(Rechner!$E$5+2117&lt;=Rechner!$B$6,Rechner!$E$5+2117,""))</f>
        <v/>
      </c>
      <c r="B2119">
        <f>IF(A2119="","",LOOKUP(A2119,Basiszins!$A$5:$A$18,Basiszins!$B$5:$B$18))</f>
        <v/>
      </c>
      <c r="C2119">
        <f>IF(A2119="","",B2119+Rechner!$E$7)</f>
        <v/>
      </c>
      <c r="D2119">
        <f>J2118</f>
        <v/>
      </c>
      <c r="E2119">
        <f>IF(A2119="",0,D2119*C2119/100/(DATE(YEAR(A2119)+1,1,1)-DATE(YEAR(A2119),1,1)))</f>
        <v/>
      </c>
      <c r="F2119">
        <f>IF(A2119="",0,SUMIF(Rechner!$A$12:$A$21,A2119,Rechner!$B$12:$B$21))</f>
        <v/>
      </c>
      <c r="G2119">
        <f>H2118+E2119</f>
        <v/>
      </c>
      <c r="H2119">
        <f>G2119-MIN(F2119,G2119)</f>
        <v/>
      </c>
      <c r="I2119">
        <f>MIN(F2119-MIN(F2119,G2119),D2119)</f>
        <v/>
      </c>
      <c r="J2119">
        <f>D2119-I2119</f>
        <v/>
      </c>
      <c r="K2119">
        <f>F2119-MIN(F2119,G2119)-I2119</f>
        <v/>
      </c>
    </row>
    <row r="2120">
      <c r="A2120" s="21">
        <f>IF(Rechner!$E$4&lt;&gt;"ok","",IF(Rechner!$E$5+2118&lt;=Rechner!$B$6,Rechner!$E$5+2118,""))</f>
        <v/>
      </c>
      <c r="B2120">
        <f>IF(A2120="","",LOOKUP(A2120,Basiszins!$A$5:$A$18,Basiszins!$B$5:$B$18))</f>
        <v/>
      </c>
      <c r="C2120">
        <f>IF(A2120="","",B2120+Rechner!$E$7)</f>
        <v/>
      </c>
      <c r="D2120">
        <f>J2119</f>
        <v/>
      </c>
      <c r="E2120">
        <f>IF(A2120="",0,D2120*C2120/100/(DATE(YEAR(A2120)+1,1,1)-DATE(YEAR(A2120),1,1)))</f>
        <v/>
      </c>
      <c r="F2120">
        <f>IF(A2120="",0,SUMIF(Rechner!$A$12:$A$21,A2120,Rechner!$B$12:$B$21))</f>
        <v/>
      </c>
      <c r="G2120">
        <f>H2119+E2120</f>
        <v/>
      </c>
      <c r="H2120">
        <f>G2120-MIN(F2120,G2120)</f>
        <v/>
      </c>
      <c r="I2120">
        <f>MIN(F2120-MIN(F2120,G2120),D2120)</f>
        <v/>
      </c>
      <c r="J2120">
        <f>D2120-I2120</f>
        <v/>
      </c>
      <c r="K2120">
        <f>F2120-MIN(F2120,G2120)-I2120</f>
        <v/>
      </c>
    </row>
    <row r="2121">
      <c r="A2121" s="21">
        <f>IF(Rechner!$E$4&lt;&gt;"ok","",IF(Rechner!$E$5+2119&lt;=Rechner!$B$6,Rechner!$E$5+2119,""))</f>
        <v/>
      </c>
      <c r="B2121">
        <f>IF(A2121="","",LOOKUP(A2121,Basiszins!$A$5:$A$18,Basiszins!$B$5:$B$18))</f>
        <v/>
      </c>
      <c r="C2121">
        <f>IF(A2121="","",B2121+Rechner!$E$7)</f>
        <v/>
      </c>
      <c r="D2121">
        <f>J2120</f>
        <v/>
      </c>
      <c r="E2121">
        <f>IF(A2121="",0,D2121*C2121/100/(DATE(YEAR(A2121)+1,1,1)-DATE(YEAR(A2121),1,1)))</f>
        <v/>
      </c>
      <c r="F2121">
        <f>IF(A2121="",0,SUMIF(Rechner!$A$12:$A$21,A2121,Rechner!$B$12:$B$21))</f>
        <v/>
      </c>
      <c r="G2121">
        <f>H2120+E2121</f>
        <v/>
      </c>
      <c r="H2121">
        <f>G2121-MIN(F2121,G2121)</f>
        <v/>
      </c>
      <c r="I2121">
        <f>MIN(F2121-MIN(F2121,G2121),D2121)</f>
        <v/>
      </c>
      <c r="J2121">
        <f>D2121-I2121</f>
        <v/>
      </c>
      <c r="K2121">
        <f>F2121-MIN(F2121,G2121)-I2121</f>
        <v/>
      </c>
    </row>
    <row r="2122">
      <c r="A2122" s="21">
        <f>IF(Rechner!$E$4&lt;&gt;"ok","",IF(Rechner!$E$5+2120&lt;=Rechner!$B$6,Rechner!$E$5+2120,""))</f>
        <v/>
      </c>
      <c r="B2122">
        <f>IF(A2122="","",LOOKUP(A2122,Basiszins!$A$5:$A$18,Basiszins!$B$5:$B$18))</f>
        <v/>
      </c>
      <c r="C2122">
        <f>IF(A2122="","",B2122+Rechner!$E$7)</f>
        <v/>
      </c>
      <c r="D2122">
        <f>J2121</f>
        <v/>
      </c>
      <c r="E2122">
        <f>IF(A2122="",0,D2122*C2122/100/(DATE(YEAR(A2122)+1,1,1)-DATE(YEAR(A2122),1,1)))</f>
        <v/>
      </c>
      <c r="F2122">
        <f>IF(A2122="",0,SUMIF(Rechner!$A$12:$A$21,A2122,Rechner!$B$12:$B$21))</f>
        <v/>
      </c>
      <c r="G2122">
        <f>H2121+E2122</f>
        <v/>
      </c>
      <c r="H2122">
        <f>G2122-MIN(F2122,G2122)</f>
        <v/>
      </c>
      <c r="I2122">
        <f>MIN(F2122-MIN(F2122,G2122),D2122)</f>
        <v/>
      </c>
      <c r="J2122">
        <f>D2122-I2122</f>
        <v/>
      </c>
      <c r="K2122">
        <f>F2122-MIN(F2122,G2122)-I2122</f>
        <v/>
      </c>
    </row>
    <row r="2123">
      <c r="A2123" s="21">
        <f>IF(Rechner!$E$4&lt;&gt;"ok","",IF(Rechner!$E$5+2121&lt;=Rechner!$B$6,Rechner!$E$5+2121,""))</f>
        <v/>
      </c>
      <c r="B2123">
        <f>IF(A2123="","",LOOKUP(A2123,Basiszins!$A$5:$A$18,Basiszins!$B$5:$B$18))</f>
        <v/>
      </c>
      <c r="C2123">
        <f>IF(A2123="","",B2123+Rechner!$E$7)</f>
        <v/>
      </c>
      <c r="D2123">
        <f>J2122</f>
        <v/>
      </c>
      <c r="E2123">
        <f>IF(A2123="",0,D2123*C2123/100/(DATE(YEAR(A2123)+1,1,1)-DATE(YEAR(A2123),1,1)))</f>
        <v/>
      </c>
      <c r="F2123">
        <f>IF(A2123="",0,SUMIF(Rechner!$A$12:$A$21,A2123,Rechner!$B$12:$B$21))</f>
        <v/>
      </c>
      <c r="G2123">
        <f>H2122+E2123</f>
        <v/>
      </c>
      <c r="H2123">
        <f>G2123-MIN(F2123,G2123)</f>
        <v/>
      </c>
      <c r="I2123">
        <f>MIN(F2123-MIN(F2123,G2123),D2123)</f>
        <v/>
      </c>
      <c r="J2123">
        <f>D2123-I2123</f>
        <v/>
      </c>
      <c r="K2123">
        <f>F2123-MIN(F2123,G2123)-I2123</f>
        <v/>
      </c>
    </row>
    <row r="2124">
      <c r="A2124" s="21">
        <f>IF(Rechner!$E$4&lt;&gt;"ok","",IF(Rechner!$E$5+2122&lt;=Rechner!$B$6,Rechner!$E$5+2122,""))</f>
        <v/>
      </c>
      <c r="B2124">
        <f>IF(A2124="","",LOOKUP(A2124,Basiszins!$A$5:$A$18,Basiszins!$B$5:$B$18))</f>
        <v/>
      </c>
      <c r="C2124">
        <f>IF(A2124="","",B2124+Rechner!$E$7)</f>
        <v/>
      </c>
      <c r="D2124">
        <f>J2123</f>
        <v/>
      </c>
      <c r="E2124">
        <f>IF(A2124="",0,D2124*C2124/100/(DATE(YEAR(A2124)+1,1,1)-DATE(YEAR(A2124),1,1)))</f>
        <v/>
      </c>
      <c r="F2124">
        <f>IF(A2124="",0,SUMIF(Rechner!$A$12:$A$21,A2124,Rechner!$B$12:$B$21))</f>
        <v/>
      </c>
      <c r="G2124">
        <f>H2123+E2124</f>
        <v/>
      </c>
      <c r="H2124">
        <f>G2124-MIN(F2124,G2124)</f>
        <v/>
      </c>
      <c r="I2124">
        <f>MIN(F2124-MIN(F2124,G2124),D2124)</f>
        <v/>
      </c>
      <c r="J2124">
        <f>D2124-I2124</f>
        <v/>
      </c>
      <c r="K2124">
        <f>F2124-MIN(F2124,G2124)-I2124</f>
        <v/>
      </c>
    </row>
    <row r="2125">
      <c r="A2125" s="21">
        <f>IF(Rechner!$E$4&lt;&gt;"ok","",IF(Rechner!$E$5+2123&lt;=Rechner!$B$6,Rechner!$E$5+2123,""))</f>
        <v/>
      </c>
      <c r="B2125">
        <f>IF(A2125="","",LOOKUP(A2125,Basiszins!$A$5:$A$18,Basiszins!$B$5:$B$18))</f>
        <v/>
      </c>
      <c r="C2125">
        <f>IF(A2125="","",B2125+Rechner!$E$7)</f>
        <v/>
      </c>
      <c r="D2125">
        <f>J2124</f>
        <v/>
      </c>
      <c r="E2125">
        <f>IF(A2125="",0,D2125*C2125/100/(DATE(YEAR(A2125)+1,1,1)-DATE(YEAR(A2125),1,1)))</f>
        <v/>
      </c>
      <c r="F2125">
        <f>IF(A2125="",0,SUMIF(Rechner!$A$12:$A$21,A2125,Rechner!$B$12:$B$21))</f>
        <v/>
      </c>
      <c r="G2125">
        <f>H2124+E2125</f>
        <v/>
      </c>
      <c r="H2125">
        <f>G2125-MIN(F2125,G2125)</f>
        <v/>
      </c>
      <c r="I2125">
        <f>MIN(F2125-MIN(F2125,G2125),D2125)</f>
        <v/>
      </c>
      <c r="J2125">
        <f>D2125-I2125</f>
        <v/>
      </c>
      <c r="K2125">
        <f>F2125-MIN(F2125,G2125)-I2125</f>
        <v/>
      </c>
    </row>
    <row r="2126">
      <c r="A2126" s="21">
        <f>IF(Rechner!$E$4&lt;&gt;"ok","",IF(Rechner!$E$5+2124&lt;=Rechner!$B$6,Rechner!$E$5+2124,""))</f>
        <v/>
      </c>
      <c r="B2126">
        <f>IF(A2126="","",LOOKUP(A2126,Basiszins!$A$5:$A$18,Basiszins!$B$5:$B$18))</f>
        <v/>
      </c>
      <c r="C2126">
        <f>IF(A2126="","",B2126+Rechner!$E$7)</f>
        <v/>
      </c>
      <c r="D2126">
        <f>J2125</f>
        <v/>
      </c>
      <c r="E2126">
        <f>IF(A2126="",0,D2126*C2126/100/(DATE(YEAR(A2126)+1,1,1)-DATE(YEAR(A2126),1,1)))</f>
        <v/>
      </c>
      <c r="F2126">
        <f>IF(A2126="",0,SUMIF(Rechner!$A$12:$A$21,A2126,Rechner!$B$12:$B$21))</f>
        <v/>
      </c>
      <c r="G2126">
        <f>H2125+E2126</f>
        <v/>
      </c>
      <c r="H2126">
        <f>G2126-MIN(F2126,G2126)</f>
        <v/>
      </c>
      <c r="I2126">
        <f>MIN(F2126-MIN(F2126,G2126),D2126)</f>
        <v/>
      </c>
      <c r="J2126">
        <f>D2126-I2126</f>
        <v/>
      </c>
      <c r="K2126">
        <f>F2126-MIN(F2126,G2126)-I2126</f>
        <v/>
      </c>
    </row>
    <row r="2127">
      <c r="A2127" s="21">
        <f>IF(Rechner!$E$4&lt;&gt;"ok","",IF(Rechner!$E$5+2125&lt;=Rechner!$B$6,Rechner!$E$5+2125,""))</f>
        <v/>
      </c>
      <c r="B2127">
        <f>IF(A2127="","",LOOKUP(A2127,Basiszins!$A$5:$A$18,Basiszins!$B$5:$B$18))</f>
        <v/>
      </c>
      <c r="C2127">
        <f>IF(A2127="","",B2127+Rechner!$E$7)</f>
        <v/>
      </c>
      <c r="D2127">
        <f>J2126</f>
        <v/>
      </c>
      <c r="E2127">
        <f>IF(A2127="",0,D2127*C2127/100/(DATE(YEAR(A2127)+1,1,1)-DATE(YEAR(A2127),1,1)))</f>
        <v/>
      </c>
      <c r="F2127">
        <f>IF(A2127="",0,SUMIF(Rechner!$A$12:$A$21,A2127,Rechner!$B$12:$B$21))</f>
        <v/>
      </c>
      <c r="G2127">
        <f>H2126+E2127</f>
        <v/>
      </c>
      <c r="H2127">
        <f>G2127-MIN(F2127,G2127)</f>
        <v/>
      </c>
      <c r="I2127">
        <f>MIN(F2127-MIN(F2127,G2127),D2127)</f>
        <v/>
      </c>
      <c r="J2127">
        <f>D2127-I2127</f>
        <v/>
      </c>
      <c r="K2127">
        <f>F2127-MIN(F2127,G2127)-I2127</f>
        <v/>
      </c>
    </row>
    <row r="2128">
      <c r="A2128" s="21">
        <f>IF(Rechner!$E$4&lt;&gt;"ok","",IF(Rechner!$E$5+2126&lt;=Rechner!$B$6,Rechner!$E$5+2126,""))</f>
        <v/>
      </c>
      <c r="B2128">
        <f>IF(A2128="","",LOOKUP(A2128,Basiszins!$A$5:$A$18,Basiszins!$B$5:$B$18))</f>
        <v/>
      </c>
      <c r="C2128">
        <f>IF(A2128="","",B2128+Rechner!$E$7)</f>
        <v/>
      </c>
      <c r="D2128">
        <f>J2127</f>
        <v/>
      </c>
      <c r="E2128">
        <f>IF(A2128="",0,D2128*C2128/100/(DATE(YEAR(A2128)+1,1,1)-DATE(YEAR(A2128),1,1)))</f>
        <v/>
      </c>
      <c r="F2128">
        <f>IF(A2128="",0,SUMIF(Rechner!$A$12:$A$21,A2128,Rechner!$B$12:$B$21))</f>
        <v/>
      </c>
      <c r="G2128">
        <f>H2127+E2128</f>
        <v/>
      </c>
      <c r="H2128">
        <f>G2128-MIN(F2128,G2128)</f>
        <v/>
      </c>
      <c r="I2128">
        <f>MIN(F2128-MIN(F2128,G2128),D2128)</f>
        <v/>
      </c>
      <c r="J2128">
        <f>D2128-I2128</f>
        <v/>
      </c>
      <c r="K2128">
        <f>F2128-MIN(F2128,G2128)-I2128</f>
        <v/>
      </c>
    </row>
    <row r="2129">
      <c r="A2129" s="21">
        <f>IF(Rechner!$E$4&lt;&gt;"ok","",IF(Rechner!$E$5+2127&lt;=Rechner!$B$6,Rechner!$E$5+2127,""))</f>
        <v/>
      </c>
      <c r="B2129">
        <f>IF(A2129="","",LOOKUP(A2129,Basiszins!$A$5:$A$18,Basiszins!$B$5:$B$18))</f>
        <v/>
      </c>
      <c r="C2129">
        <f>IF(A2129="","",B2129+Rechner!$E$7)</f>
        <v/>
      </c>
      <c r="D2129">
        <f>J2128</f>
        <v/>
      </c>
      <c r="E2129">
        <f>IF(A2129="",0,D2129*C2129/100/(DATE(YEAR(A2129)+1,1,1)-DATE(YEAR(A2129),1,1)))</f>
        <v/>
      </c>
      <c r="F2129">
        <f>IF(A2129="",0,SUMIF(Rechner!$A$12:$A$21,A2129,Rechner!$B$12:$B$21))</f>
        <v/>
      </c>
      <c r="G2129">
        <f>H2128+E2129</f>
        <v/>
      </c>
      <c r="H2129">
        <f>G2129-MIN(F2129,G2129)</f>
        <v/>
      </c>
      <c r="I2129">
        <f>MIN(F2129-MIN(F2129,G2129),D2129)</f>
        <v/>
      </c>
      <c r="J2129">
        <f>D2129-I2129</f>
        <v/>
      </c>
      <c r="K2129">
        <f>F2129-MIN(F2129,G2129)-I2129</f>
        <v/>
      </c>
    </row>
    <row r="2130">
      <c r="A2130" s="21">
        <f>IF(Rechner!$E$4&lt;&gt;"ok","",IF(Rechner!$E$5+2128&lt;=Rechner!$B$6,Rechner!$E$5+2128,""))</f>
        <v/>
      </c>
      <c r="B2130">
        <f>IF(A2130="","",LOOKUP(A2130,Basiszins!$A$5:$A$18,Basiszins!$B$5:$B$18))</f>
        <v/>
      </c>
      <c r="C2130">
        <f>IF(A2130="","",B2130+Rechner!$E$7)</f>
        <v/>
      </c>
      <c r="D2130">
        <f>J2129</f>
        <v/>
      </c>
      <c r="E2130">
        <f>IF(A2130="",0,D2130*C2130/100/(DATE(YEAR(A2130)+1,1,1)-DATE(YEAR(A2130),1,1)))</f>
        <v/>
      </c>
      <c r="F2130">
        <f>IF(A2130="",0,SUMIF(Rechner!$A$12:$A$21,A2130,Rechner!$B$12:$B$21))</f>
        <v/>
      </c>
      <c r="G2130">
        <f>H2129+E2130</f>
        <v/>
      </c>
      <c r="H2130">
        <f>G2130-MIN(F2130,G2130)</f>
        <v/>
      </c>
      <c r="I2130">
        <f>MIN(F2130-MIN(F2130,G2130),D2130)</f>
        <v/>
      </c>
      <c r="J2130">
        <f>D2130-I2130</f>
        <v/>
      </c>
      <c r="K2130">
        <f>F2130-MIN(F2130,G2130)-I2130</f>
        <v/>
      </c>
    </row>
    <row r="2131">
      <c r="A2131" s="21">
        <f>IF(Rechner!$E$4&lt;&gt;"ok","",IF(Rechner!$E$5+2129&lt;=Rechner!$B$6,Rechner!$E$5+2129,""))</f>
        <v/>
      </c>
      <c r="B2131">
        <f>IF(A2131="","",LOOKUP(A2131,Basiszins!$A$5:$A$18,Basiszins!$B$5:$B$18))</f>
        <v/>
      </c>
      <c r="C2131">
        <f>IF(A2131="","",B2131+Rechner!$E$7)</f>
        <v/>
      </c>
      <c r="D2131">
        <f>J2130</f>
        <v/>
      </c>
      <c r="E2131">
        <f>IF(A2131="",0,D2131*C2131/100/(DATE(YEAR(A2131)+1,1,1)-DATE(YEAR(A2131),1,1)))</f>
        <v/>
      </c>
      <c r="F2131">
        <f>IF(A2131="",0,SUMIF(Rechner!$A$12:$A$21,A2131,Rechner!$B$12:$B$21))</f>
        <v/>
      </c>
      <c r="G2131">
        <f>H2130+E2131</f>
        <v/>
      </c>
      <c r="H2131">
        <f>G2131-MIN(F2131,G2131)</f>
        <v/>
      </c>
      <c r="I2131">
        <f>MIN(F2131-MIN(F2131,G2131),D2131)</f>
        <v/>
      </c>
      <c r="J2131">
        <f>D2131-I2131</f>
        <v/>
      </c>
      <c r="K2131">
        <f>F2131-MIN(F2131,G2131)-I2131</f>
        <v/>
      </c>
    </row>
    <row r="2132">
      <c r="A2132" s="21">
        <f>IF(Rechner!$E$4&lt;&gt;"ok","",IF(Rechner!$E$5+2130&lt;=Rechner!$B$6,Rechner!$E$5+2130,""))</f>
        <v/>
      </c>
      <c r="B2132">
        <f>IF(A2132="","",LOOKUP(A2132,Basiszins!$A$5:$A$18,Basiszins!$B$5:$B$18))</f>
        <v/>
      </c>
      <c r="C2132">
        <f>IF(A2132="","",B2132+Rechner!$E$7)</f>
        <v/>
      </c>
      <c r="D2132">
        <f>J2131</f>
        <v/>
      </c>
      <c r="E2132">
        <f>IF(A2132="",0,D2132*C2132/100/(DATE(YEAR(A2132)+1,1,1)-DATE(YEAR(A2132),1,1)))</f>
        <v/>
      </c>
      <c r="F2132">
        <f>IF(A2132="",0,SUMIF(Rechner!$A$12:$A$21,A2132,Rechner!$B$12:$B$21))</f>
        <v/>
      </c>
      <c r="G2132">
        <f>H2131+E2132</f>
        <v/>
      </c>
      <c r="H2132">
        <f>G2132-MIN(F2132,G2132)</f>
        <v/>
      </c>
      <c r="I2132">
        <f>MIN(F2132-MIN(F2132,G2132),D2132)</f>
        <v/>
      </c>
      <c r="J2132">
        <f>D2132-I2132</f>
        <v/>
      </c>
      <c r="K2132">
        <f>F2132-MIN(F2132,G2132)-I2132</f>
        <v/>
      </c>
    </row>
    <row r="2133">
      <c r="A2133" s="21">
        <f>IF(Rechner!$E$4&lt;&gt;"ok","",IF(Rechner!$E$5+2131&lt;=Rechner!$B$6,Rechner!$E$5+2131,""))</f>
        <v/>
      </c>
      <c r="B2133">
        <f>IF(A2133="","",LOOKUP(A2133,Basiszins!$A$5:$A$18,Basiszins!$B$5:$B$18))</f>
        <v/>
      </c>
      <c r="C2133">
        <f>IF(A2133="","",B2133+Rechner!$E$7)</f>
        <v/>
      </c>
      <c r="D2133">
        <f>J2132</f>
        <v/>
      </c>
      <c r="E2133">
        <f>IF(A2133="",0,D2133*C2133/100/(DATE(YEAR(A2133)+1,1,1)-DATE(YEAR(A2133),1,1)))</f>
        <v/>
      </c>
      <c r="F2133">
        <f>IF(A2133="",0,SUMIF(Rechner!$A$12:$A$21,A2133,Rechner!$B$12:$B$21))</f>
        <v/>
      </c>
      <c r="G2133">
        <f>H2132+E2133</f>
        <v/>
      </c>
      <c r="H2133">
        <f>G2133-MIN(F2133,G2133)</f>
        <v/>
      </c>
      <c r="I2133">
        <f>MIN(F2133-MIN(F2133,G2133),D2133)</f>
        <v/>
      </c>
      <c r="J2133">
        <f>D2133-I2133</f>
        <v/>
      </c>
      <c r="K2133">
        <f>F2133-MIN(F2133,G2133)-I2133</f>
        <v/>
      </c>
    </row>
    <row r="2134">
      <c r="A2134" s="21">
        <f>IF(Rechner!$E$4&lt;&gt;"ok","",IF(Rechner!$E$5+2132&lt;=Rechner!$B$6,Rechner!$E$5+2132,""))</f>
        <v/>
      </c>
      <c r="B2134">
        <f>IF(A2134="","",LOOKUP(A2134,Basiszins!$A$5:$A$18,Basiszins!$B$5:$B$18))</f>
        <v/>
      </c>
      <c r="C2134">
        <f>IF(A2134="","",B2134+Rechner!$E$7)</f>
        <v/>
      </c>
      <c r="D2134">
        <f>J2133</f>
        <v/>
      </c>
      <c r="E2134">
        <f>IF(A2134="",0,D2134*C2134/100/(DATE(YEAR(A2134)+1,1,1)-DATE(YEAR(A2134),1,1)))</f>
        <v/>
      </c>
      <c r="F2134">
        <f>IF(A2134="",0,SUMIF(Rechner!$A$12:$A$21,A2134,Rechner!$B$12:$B$21))</f>
        <v/>
      </c>
      <c r="G2134">
        <f>H2133+E2134</f>
        <v/>
      </c>
      <c r="H2134">
        <f>G2134-MIN(F2134,G2134)</f>
        <v/>
      </c>
      <c r="I2134">
        <f>MIN(F2134-MIN(F2134,G2134),D2134)</f>
        <v/>
      </c>
      <c r="J2134">
        <f>D2134-I2134</f>
        <v/>
      </c>
      <c r="K2134">
        <f>F2134-MIN(F2134,G2134)-I2134</f>
        <v/>
      </c>
    </row>
    <row r="2135">
      <c r="A2135" s="21">
        <f>IF(Rechner!$E$4&lt;&gt;"ok","",IF(Rechner!$E$5+2133&lt;=Rechner!$B$6,Rechner!$E$5+2133,""))</f>
        <v/>
      </c>
      <c r="B2135">
        <f>IF(A2135="","",LOOKUP(A2135,Basiszins!$A$5:$A$18,Basiszins!$B$5:$B$18))</f>
        <v/>
      </c>
      <c r="C2135">
        <f>IF(A2135="","",B2135+Rechner!$E$7)</f>
        <v/>
      </c>
      <c r="D2135">
        <f>J2134</f>
        <v/>
      </c>
      <c r="E2135">
        <f>IF(A2135="",0,D2135*C2135/100/(DATE(YEAR(A2135)+1,1,1)-DATE(YEAR(A2135),1,1)))</f>
        <v/>
      </c>
      <c r="F2135">
        <f>IF(A2135="",0,SUMIF(Rechner!$A$12:$A$21,A2135,Rechner!$B$12:$B$21))</f>
        <v/>
      </c>
      <c r="G2135">
        <f>H2134+E2135</f>
        <v/>
      </c>
      <c r="H2135">
        <f>G2135-MIN(F2135,G2135)</f>
        <v/>
      </c>
      <c r="I2135">
        <f>MIN(F2135-MIN(F2135,G2135),D2135)</f>
        <v/>
      </c>
      <c r="J2135">
        <f>D2135-I2135</f>
        <v/>
      </c>
      <c r="K2135">
        <f>F2135-MIN(F2135,G2135)-I2135</f>
        <v/>
      </c>
    </row>
    <row r="2136">
      <c r="A2136" s="21">
        <f>IF(Rechner!$E$4&lt;&gt;"ok","",IF(Rechner!$E$5+2134&lt;=Rechner!$B$6,Rechner!$E$5+2134,""))</f>
        <v/>
      </c>
      <c r="B2136">
        <f>IF(A2136="","",LOOKUP(A2136,Basiszins!$A$5:$A$18,Basiszins!$B$5:$B$18))</f>
        <v/>
      </c>
      <c r="C2136">
        <f>IF(A2136="","",B2136+Rechner!$E$7)</f>
        <v/>
      </c>
      <c r="D2136">
        <f>J2135</f>
        <v/>
      </c>
      <c r="E2136">
        <f>IF(A2136="",0,D2136*C2136/100/(DATE(YEAR(A2136)+1,1,1)-DATE(YEAR(A2136),1,1)))</f>
        <v/>
      </c>
      <c r="F2136">
        <f>IF(A2136="",0,SUMIF(Rechner!$A$12:$A$21,A2136,Rechner!$B$12:$B$21))</f>
        <v/>
      </c>
      <c r="G2136">
        <f>H2135+E2136</f>
        <v/>
      </c>
      <c r="H2136">
        <f>G2136-MIN(F2136,G2136)</f>
        <v/>
      </c>
      <c r="I2136">
        <f>MIN(F2136-MIN(F2136,G2136),D2136)</f>
        <v/>
      </c>
      <c r="J2136">
        <f>D2136-I2136</f>
        <v/>
      </c>
      <c r="K2136">
        <f>F2136-MIN(F2136,G2136)-I2136</f>
        <v/>
      </c>
    </row>
    <row r="2137">
      <c r="A2137" s="21">
        <f>IF(Rechner!$E$4&lt;&gt;"ok","",IF(Rechner!$E$5+2135&lt;=Rechner!$B$6,Rechner!$E$5+2135,""))</f>
        <v/>
      </c>
      <c r="B2137">
        <f>IF(A2137="","",LOOKUP(A2137,Basiszins!$A$5:$A$18,Basiszins!$B$5:$B$18))</f>
        <v/>
      </c>
      <c r="C2137">
        <f>IF(A2137="","",B2137+Rechner!$E$7)</f>
        <v/>
      </c>
      <c r="D2137">
        <f>J2136</f>
        <v/>
      </c>
      <c r="E2137">
        <f>IF(A2137="",0,D2137*C2137/100/(DATE(YEAR(A2137)+1,1,1)-DATE(YEAR(A2137),1,1)))</f>
        <v/>
      </c>
      <c r="F2137">
        <f>IF(A2137="",0,SUMIF(Rechner!$A$12:$A$21,A2137,Rechner!$B$12:$B$21))</f>
        <v/>
      </c>
      <c r="G2137">
        <f>H2136+E2137</f>
        <v/>
      </c>
      <c r="H2137">
        <f>G2137-MIN(F2137,G2137)</f>
        <v/>
      </c>
      <c r="I2137">
        <f>MIN(F2137-MIN(F2137,G2137),D2137)</f>
        <v/>
      </c>
      <c r="J2137">
        <f>D2137-I2137</f>
        <v/>
      </c>
      <c r="K2137">
        <f>F2137-MIN(F2137,G2137)-I2137</f>
        <v/>
      </c>
    </row>
    <row r="2138">
      <c r="A2138" s="21">
        <f>IF(Rechner!$E$4&lt;&gt;"ok","",IF(Rechner!$E$5+2136&lt;=Rechner!$B$6,Rechner!$E$5+2136,""))</f>
        <v/>
      </c>
      <c r="B2138">
        <f>IF(A2138="","",LOOKUP(A2138,Basiszins!$A$5:$A$18,Basiszins!$B$5:$B$18))</f>
        <v/>
      </c>
      <c r="C2138">
        <f>IF(A2138="","",B2138+Rechner!$E$7)</f>
        <v/>
      </c>
      <c r="D2138">
        <f>J2137</f>
        <v/>
      </c>
      <c r="E2138">
        <f>IF(A2138="",0,D2138*C2138/100/(DATE(YEAR(A2138)+1,1,1)-DATE(YEAR(A2138),1,1)))</f>
        <v/>
      </c>
      <c r="F2138">
        <f>IF(A2138="",0,SUMIF(Rechner!$A$12:$A$21,A2138,Rechner!$B$12:$B$21))</f>
        <v/>
      </c>
      <c r="G2138">
        <f>H2137+E2138</f>
        <v/>
      </c>
      <c r="H2138">
        <f>G2138-MIN(F2138,G2138)</f>
        <v/>
      </c>
      <c r="I2138">
        <f>MIN(F2138-MIN(F2138,G2138),D2138)</f>
        <v/>
      </c>
      <c r="J2138">
        <f>D2138-I2138</f>
        <v/>
      </c>
      <c r="K2138">
        <f>F2138-MIN(F2138,G2138)-I2138</f>
        <v/>
      </c>
    </row>
    <row r="2139">
      <c r="A2139" s="21">
        <f>IF(Rechner!$E$4&lt;&gt;"ok","",IF(Rechner!$E$5+2137&lt;=Rechner!$B$6,Rechner!$E$5+2137,""))</f>
        <v/>
      </c>
      <c r="B2139">
        <f>IF(A2139="","",LOOKUP(A2139,Basiszins!$A$5:$A$18,Basiszins!$B$5:$B$18))</f>
        <v/>
      </c>
      <c r="C2139">
        <f>IF(A2139="","",B2139+Rechner!$E$7)</f>
        <v/>
      </c>
      <c r="D2139">
        <f>J2138</f>
        <v/>
      </c>
      <c r="E2139">
        <f>IF(A2139="",0,D2139*C2139/100/(DATE(YEAR(A2139)+1,1,1)-DATE(YEAR(A2139),1,1)))</f>
        <v/>
      </c>
      <c r="F2139">
        <f>IF(A2139="",0,SUMIF(Rechner!$A$12:$A$21,A2139,Rechner!$B$12:$B$21))</f>
        <v/>
      </c>
      <c r="G2139">
        <f>H2138+E2139</f>
        <v/>
      </c>
      <c r="H2139">
        <f>G2139-MIN(F2139,G2139)</f>
        <v/>
      </c>
      <c r="I2139">
        <f>MIN(F2139-MIN(F2139,G2139),D2139)</f>
        <v/>
      </c>
      <c r="J2139">
        <f>D2139-I2139</f>
        <v/>
      </c>
      <c r="K2139">
        <f>F2139-MIN(F2139,G2139)-I2139</f>
        <v/>
      </c>
    </row>
    <row r="2140">
      <c r="A2140" s="21">
        <f>IF(Rechner!$E$4&lt;&gt;"ok","",IF(Rechner!$E$5+2138&lt;=Rechner!$B$6,Rechner!$E$5+2138,""))</f>
        <v/>
      </c>
      <c r="B2140">
        <f>IF(A2140="","",LOOKUP(A2140,Basiszins!$A$5:$A$18,Basiszins!$B$5:$B$18))</f>
        <v/>
      </c>
      <c r="C2140">
        <f>IF(A2140="","",B2140+Rechner!$E$7)</f>
        <v/>
      </c>
      <c r="D2140">
        <f>J2139</f>
        <v/>
      </c>
      <c r="E2140">
        <f>IF(A2140="",0,D2140*C2140/100/(DATE(YEAR(A2140)+1,1,1)-DATE(YEAR(A2140),1,1)))</f>
        <v/>
      </c>
      <c r="F2140">
        <f>IF(A2140="",0,SUMIF(Rechner!$A$12:$A$21,A2140,Rechner!$B$12:$B$21))</f>
        <v/>
      </c>
      <c r="G2140">
        <f>H2139+E2140</f>
        <v/>
      </c>
      <c r="H2140">
        <f>G2140-MIN(F2140,G2140)</f>
        <v/>
      </c>
      <c r="I2140">
        <f>MIN(F2140-MIN(F2140,G2140),D2140)</f>
        <v/>
      </c>
      <c r="J2140">
        <f>D2140-I2140</f>
        <v/>
      </c>
      <c r="K2140">
        <f>F2140-MIN(F2140,G2140)-I2140</f>
        <v/>
      </c>
    </row>
    <row r="2141">
      <c r="A2141" s="21">
        <f>IF(Rechner!$E$4&lt;&gt;"ok","",IF(Rechner!$E$5+2139&lt;=Rechner!$B$6,Rechner!$E$5+2139,""))</f>
        <v/>
      </c>
      <c r="B2141">
        <f>IF(A2141="","",LOOKUP(A2141,Basiszins!$A$5:$A$18,Basiszins!$B$5:$B$18))</f>
        <v/>
      </c>
      <c r="C2141">
        <f>IF(A2141="","",B2141+Rechner!$E$7)</f>
        <v/>
      </c>
      <c r="D2141">
        <f>J2140</f>
        <v/>
      </c>
      <c r="E2141">
        <f>IF(A2141="",0,D2141*C2141/100/(DATE(YEAR(A2141)+1,1,1)-DATE(YEAR(A2141),1,1)))</f>
        <v/>
      </c>
      <c r="F2141">
        <f>IF(A2141="",0,SUMIF(Rechner!$A$12:$A$21,A2141,Rechner!$B$12:$B$21))</f>
        <v/>
      </c>
      <c r="G2141">
        <f>H2140+E2141</f>
        <v/>
      </c>
      <c r="H2141">
        <f>G2141-MIN(F2141,G2141)</f>
        <v/>
      </c>
      <c r="I2141">
        <f>MIN(F2141-MIN(F2141,G2141),D2141)</f>
        <v/>
      </c>
      <c r="J2141">
        <f>D2141-I2141</f>
        <v/>
      </c>
      <c r="K2141">
        <f>F2141-MIN(F2141,G2141)-I2141</f>
        <v/>
      </c>
    </row>
    <row r="2142">
      <c r="A2142" s="21">
        <f>IF(Rechner!$E$4&lt;&gt;"ok","",IF(Rechner!$E$5+2140&lt;=Rechner!$B$6,Rechner!$E$5+2140,""))</f>
        <v/>
      </c>
      <c r="B2142">
        <f>IF(A2142="","",LOOKUP(A2142,Basiszins!$A$5:$A$18,Basiszins!$B$5:$B$18))</f>
        <v/>
      </c>
      <c r="C2142">
        <f>IF(A2142="","",B2142+Rechner!$E$7)</f>
        <v/>
      </c>
      <c r="D2142">
        <f>J2141</f>
        <v/>
      </c>
      <c r="E2142">
        <f>IF(A2142="",0,D2142*C2142/100/(DATE(YEAR(A2142)+1,1,1)-DATE(YEAR(A2142),1,1)))</f>
        <v/>
      </c>
      <c r="F2142">
        <f>IF(A2142="",0,SUMIF(Rechner!$A$12:$A$21,A2142,Rechner!$B$12:$B$21))</f>
        <v/>
      </c>
      <c r="G2142">
        <f>H2141+E2142</f>
        <v/>
      </c>
      <c r="H2142">
        <f>G2142-MIN(F2142,G2142)</f>
        <v/>
      </c>
      <c r="I2142">
        <f>MIN(F2142-MIN(F2142,G2142),D2142)</f>
        <v/>
      </c>
      <c r="J2142">
        <f>D2142-I2142</f>
        <v/>
      </c>
      <c r="K2142">
        <f>F2142-MIN(F2142,G2142)-I2142</f>
        <v/>
      </c>
    </row>
    <row r="2143">
      <c r="A2143" s="21">
        <f>IF(Rechner!$E$4&lt;&gt;"ok","",IF(Rechner!$E$5+2141&lt;=Rechner!$B$6,Rechner!$E$5+2141,""))</f>
        <v/>
      </c>
      <c r="B2143">
        <f>IF(A2143="","",LOOKUP(A2143,Basiszins!$A$5:$A$18,Basiszins!$B$5:$B$18))</f>
        <v/>
      </c>
      <c r="C2143">
        <f>IF(A2143="","",B2143+Rechner!$E$7)</f>
        <v/>
      </c>
      <c r="D2143">
        <f>J2142</f>
        <v/>
      </c>
      <c r="E2143">
        <f>IF(A2143="",0,D2143*C2143/100/(DATE(YEAR(A2143)+1,1,1)-DATE(YEAR(A2143),1,1)))</f>
        <v/>
      </c>
      <c r="F2143">
        <f>IF(A2143="",0,SUMIF(Rechner!$A$12:$A$21,A2143,Rechner!$B$12:$B$21))</f>
        <v/>
      </c>
      <c r="G2143">
        <f>H2142+E2143</f>
        <v/>
      </c>
      <c r="H2143">
        <f>G2143-MIN(F2143,G2143)</f>
        <v/>
      </c>
      <c r="I2143">
        <f>MIN(F2143-MIN(F2143,G2143),D2143)</f>
        <v/>
      </c>
      <c r="J2143">
        <f>D2143-I2143</f>
        <v/>
      </c>
      <c r="K2143">
        <f>F2143-MIN(F2143,G2143)-I2143</f>
        <v/>
      </c>
    </row>
    <row r="2144">
      <c r="A2144" s="21">
        <f>IF(Rechner!$E$4&lt;&gt;"ok","",IF(Rechner!$E$5+2142&lt;=Rechner!$B$6,Rechner!$E$5+2142,""))</f>
        <v/>
      </c>
      <c r="B2144">
        <f>IF(A2144="","",LOOKUP(A2144,Basiszins!$A$5:$A$18,Basiszins!$B$5:$B$18))</f>
        <v/>
      </c>
      <c r="C2144">
        <f>IF(A2144="","",B2144+Rechner!$E$7)</f>
        <v/>
      </c>
      <c r="D2144">
        <f>J2143</f>
        <v/>
      </c>
      <c r="E2144">
        <f>IF(A2144="",0,D2144*C2144/100/(DATE(YEAR(A2144)+1,1,1)-DATE(YEAR(A2144),1,1)))</f>
        <v/>
      </c>
      <c r="F2144">
        <f>IF(A2144="",0,SUMIF(Rechner!$A$12:$A$21,A2144,Rechner!$B$12:$B$21))</f>
        <v/>
      </c>
      <c r="G2144">
        <f>H2143+E2144</f>
        <v/>
      </c>
      <c r="H2144">
        <f>G2144-MIN(F2144,G2144)</f>
        <v/>
      </c>
      <c r="I2144">
        <f>MIN(F2144-MIN(F2144,G2144),D2144)</f>
        <v/>
      </c>
      <c r="J2144">
        <f>D2144-I2144</f>
        <v/>
      </c>
      <c r="K2144">
        <f>F2144-MIN(F2144,G2144)-I2144</f>
        <v/>
      </c>
    </row>
    <row r="2145">
      <c r="A2145" s="21">
        <f>IF(Rechner!$E$4&lt;&gt;"ok","",IF(Rechner!$E$5+2143&lt;=Rechner!$B$6,Rechner!$E$5+2143,""))</f>
        <v/>
      </c>
      <c r="B2145">
        <f>IF(A2145="","",LOOKUP(A2145,Basiszins!$A$5:$A$18,Basiszins!$B$5:$B$18))</f>
        <v/>
      </c>
      <c r="C2145">
        <f>IF(A2145="","",B2145+Rechner!$E$7)</f>
        <v/>
      </c>
      <c r="D2145">
        <f>J2144</f>
        <v/>
      </c>
      <c r="E2145">
        <f>IF(A2145="",0,D2145*C2145/100/(DATE(YEAR(A2145)+1,1,1)-DATE(YEAR(A2145),1,1)))</f>
        <v/>
      </c>
      <c r="F2145">
        <f>IF(A2145="",0,SUMIF(Rechner!$A$12:$A$21,A2145,Rechner!$B$12:$B$21))</f>
        <v/>
      </c>
      <c r="G2145">
        <f>H2144+E2145</f>
        <v/>
      </c>
      <c r="H2145">
        <f>G2145-MIN(F2145,G2145)</f>
        <v/>
      </c>
      <c r="I2145">
        <f>MIN(F2145-MIN(F2145,G2145),D2145)</f>
        <v/>
      </c>
      <c r="J2145">
        <f>D2145-I2145</f>
        <v/>
      </c>
      <c r="K2145">
        <f>F2145-MIN(F2145,G2145)-I2145</f>
        <v/>
      </c>
    </row>
    <row r="2146">
      <c r="A2146" s="21">
        <f>IF(Rechner!$E$4&lt;&gt;"ok","",IF(Rechner!$E$5+2144&lt;=Rechner!$B$6,Rechner!$E$5+2144,""))</f>
        <v/>
      </c>
      <c r="B2146">
        <f>IF(A2146="","",LOOKUP(A2146,Basiszins!$A$5:$A$18,Basiszins!$B$5:$B$18))</f>
        <v/>
      </c>
      <c r="C2146">
        <f>IF(A2146="","",B2146+Rechner!$E$7)</f>
        <v/>
      </c>
      <c r="D2146">
        <f>J2145</f>
        <v/>
      </c>
      <c r="E2146">
        <f>IF(A2146="",0,D2146*C2146/100/(DATE(YEAR(A2146)+1,1,1)-DATE(YEAR(A2146),1,1)))</f>
        <v/>
      </c>
      <c r="F2146">
        <f>IF(A2146="",0,SUMIF(Rechner!$A$12:$A$21,A2146,Rechner!$B$12:$B$21))</f>
        <v/>
      </c>
      <c r="G2146">
        <f>H2145+E2146</f>
        <v/>
      </c>
      <c r="H2146">
        <f>G2146-MIN(F2146,G2146)</f>
        <v/>
      </c>
      <c r="I2146">
        <f>MIN(F2146-MIN(F2146,G2146),D2146)</f>
        <v/>
      </c>
      <c r="J2146">
        <f>D2146-I2146</f>
        <v/>
      </c>
      <c r="K2146">
        <f>F2146-MIN(F2146,G2146)-I2146</f>
        <v/>
      </c>
    </row>
    <row r="2147">
      <c r="A2147" s="21">
        <f>IF(Rechner!$E$4&lt;&gt;"ok","",IF(Rechner!$E$5+2145&lt;=Rechner!$B$6,Rechner!$E$5+2145,""))</f>
        <v/>
      </c>
      <c r="B2147">
        <f>IF(A2147="","",LOOKUP(A2147,Basiszins!$A$5:$A$18,Basiszins!$B$5:$B$18))</f>
        <v/>
      </c>
      <c r="C2147">
        <f>IF(A2147="","",B2147+Rechner!$E$7)</f>
        <v/>
      </c>
      <c r="D2147">
        <f>J2146</f>
        <v/>
      </c>
      <c r="E2147">
        <f>IF(A2147="",0,D2147*C2147/100/(DATE(YEAR(A2147)+1,1,1)-DATE(YEAR(A2147),1,1)))</f>
        <v/>
      </c>
      <c r="F2147">
        <f>IF(A2147="",0,SUMIF(Rechner!$A$12:$A$21,A2147,Rechner!$B$12:$B$21))</f>
        <v/>
      </c>
      <c r="G2147">
        <f>H2146+E2147</f>
        <v/>
      </c>
      <c r="H2147">
        <f>G2147-MIN(F2147,G2147)</f>
        <v/>
      </c>
      <c r="I2147">
        <f>MIN(F2147-MIN(F2147,G2147),D2147)</f>
        <v/>
      </c>
      <c r="J2147">
        <f>D2147-I2147</f>
        <v/>
      </c>
      <c r="K2147">
        <f>F2147-MIN(F2147,G2147)-I2147</f>
        <v/>
      </c>
    </row>
    <row r="2148">
      <c r="A2148" s="21">
        <f>IF(Rechner!$E$4&lt;&gt;"ok","",IF(Rechner!$E$5+2146&lt;=Rechner!$B$6,Rechner!$E$5+2146,""))</f>
        <v/>
      </c>
      <c r="B2148">
        <f>IF(A2148="","",LOOKUP(A2148,Basiszins!$A$5:$A$18,Basiszins!$B$5:$B$18))</f>
        <v/>
      </c>
      <c r="C2148">
        <f>IF(A2148="","",B2148+Rechner!$E$7)</f>
        <v/>
      </c>
      <c r="D2148">
        <f>J2147</f>
        <v/>
      </c>
      <c r="E2148">
        <f>IF(A2148="",0,D2148*C2148/100/(DATE(YEAR(A2148)+1,1,1)-DATE(YEAR(A2148),1,1)))</f>
        <v/>
      </c>
      <c r="F2148">
        <f>IF(A2148="",0,SUMIF(Rechner!$A$12:$A$21,A2148,Rechner!$B$12:$B$21))</f>
        <v/>
      </c>
      <c r="G2148">
        <f>H2147+E2148</f>
        <v/>
      </c>
      <c r="H2148">
        <f>G2148-MIN(F2148,G2148)</f>
        <v/>
      </c>
      <c r="I2148">
        <f>MIN(F2148-MIN(F2148,G2148),D2148)</f>
        <v/>
      </c>
      <c r="J2148">
        <f>D2148-I2148</f>
        <v/>
      </c>
      <c r="K2148">
        <f>F2148-MIN(F2148,G2148)-I2148</f>
        <v/>
      </c>
    </row>
    <row r="2149">
      <c r="A2149" s="21">
        <f>IF(Rechner!$E$4&lt;&gt;"ok","",IF(Rechner!$E$5+2147&lt;=Rechner!$B$6,Rechner!$E$5+2147,""))</f>
        <v/>
      </c>
      <c r="B2149">
        <f>IF(A2149="","",LOOKUP(A2149,Basiszins!$A$5:$A$18,Basiszins!$B$5:$B$18))</f>
        <v/>
      </c>
      <c r="C2149">
        <f>IF(A2149="","",B2149+Rechner!$E$7)</f>
        <v/>
      </c>
      <c r="D2149">
        <f>J2148</f>
        <v/>
      </c>
      <c r="E2149">
        <f>IF(A2149="",0,D2149*C2149/100/(DATE(YEAR(A2149)+1,1,1)-DATE(YEAR(A2149),1,1)))</f>
        <v/>
      </c>
      <c r="F2149">
        <f>IF(A2149="",0,SUMIF(Rechner!$A$12:$A$21,A2149,Rechner!$B$12:$B$21))</f>
        <v/>
      </c>
      <c r="G2149">
        <f>H2148+E2149</f>
        <v/>
      </c>
      <c r="H2149">
        <f>G2149-MIN(F2149,G2149)</f>
        <v/>
      </c>
      <c r="I2149">
        <f>MIN(F2149-MIN(F2149,G2149),D2149)</f>
        <v/>
      </c>
      <c r="J2149">
        <f>D2149-I2149</f>
        <v/>
      </c>
      <c r="K2149">
        <f>F2149-MIN(F2149,G2149)-I2149</f>
        <v/>
      </c>
    </row>
    <row r="2150">
      <c r="A2150" s="21">
        <f>IF(Rechner!$E$4&lt;&gt;"ok","",IF(Rechner!$E$5+2148&lt;=Rechner!$B$6,Rechner!$E$5+2148,""))</f>
        <v/>
      </c>
      <c r="B2150">
        <f>IF(A2150="","",LOOKUP(A2150,Basiszins!$A$5:$A$18,Basiszins!$B$5:$B$18))</f>
        <v/>
      </c>
      <c r="C2150">
        <f>IF(A2150="","",B2150+Rechner!$E$7)</f>
        <v/>
      </c>
      <c r="D2150">
        <f>J2149</f>
        <v/>
      </c>
      <c r="E2150">
        <f>IF(A2150="",0,D2150*C2150/100/(DATE(YEAR(A2150)+1,1,1)-DATE(YEAR(A2150),1,1)))</f>
        <v/>
      </c>
      <c r="F2150">
        <f>IF(A2150="",0,SUMIF(Rechner!$A$12:$A$21,A2150,Rechner!$B$12:$B$21))</f>
        <v/>
      </c>
      <c r="G2150">
        <f>H2149+E2150</f>
        <v/>
      </c>
      <c r="H2150">
        <f>G2150-MIN(F2150,G2150)</f>
        <v/>
      </c>
      <c r="I2150">
        <f>MIN(F2150-MIN(F2150,G2150),D2150)</f>
        <v/>
      </c>
      <c r="J2150">
        <f>D2150-I2150</f>
        <v/>
      </c>
      <c r="K2150">
        <f>F2150-MIN(F2150,G2150)-I2150</f>
        <v/>
      </c>
    </row>
    <row r="2151">
      <c r="A2151" s="21">
        <f>IF(Rechner!$E$4&lt;&gt;"ok","",IF(Rechner!$E$5+2149&lt;=Rechner!$B$6,Rechner!$E$5+2149,""))</f>
        <v/>
      </c>
      <c r="B2151">
        <f>IF(A2151="","",LOOKUP(A2151,Basiszins!$A$5:$A$18,Basiszins!$B$5:$B$18))</f>
        <v/>
      </c>
      <c r="C2151">
        <f>IF(A2151="","",B2151+Rechner!$E$7)</f>
        <v/>
      </c>
      <c r="D2151">
        <f>J2150</f>
        <v/>
      </c>
      <c r="E2151">
        <f>IF(A2151="",0,D2151*C2151/100/(DATE(YEAR(A2151)+1,1,1)-DATE(YEAR(A2151),1,1)))</f>
        <v/>
      </c>
      <c r="F2151">
        <f>IF(A2151="",0,SUMIF(Rechner!$A$12:$A$21,A2151,Rechner!$B$12:$B$21))</f>
        <v/>
      </c>
      <c r="G2151">
        <f>H2150+E2151</f>
        <v/>
      </c>
      <c r="H2151">
        <f>G2151-MIN(F2151,G2151)</f>
        <v/>
      </c>
      <c r="I2151">
        <f>MIN(F2151-MIN(F2151,G2151),D2151)</f>
        <v/>
      </c>
      <c r="J2151">
        <f>D2151-I2151</f>
        <v/>
      </c>
      <c r="K2151">
        <f>F2151-MIN(F2151,G2151)-I2151</f>
        <v/>
      </c>
    </row>
    <row r="2152">
      <c r="A2152" s="21">
        <f>IF(Rechner!$E$4&lt;&gt;"ok","",IF(Rechner!$E$5+2150&lt;=Rechner!$B$6,Rechner!$E$5+2150,""))</f>
        <v/>
      </c>
      <c r="B2152">
        <f>IF(A2152="","",LOOKUP(A2152,Basiszins!$A$5:$A$18,Basiszins!$B$5:$B$18))</f>
        <v/>
      </c>
      <c r="C2152">
        <f>IF(A2152="","",B2152+Rechner!$E$7)</f>
        <v/>
      </c>
      <c r="D2152">
        <f>J2151</f>
        <v/>
      </c>
      <c r="E2152">
        <f>IF(A2152="",0,D2152*C2152/100/(DATE(YEAR(A2152)+1,1,1)-DATE(YEAR(A2152),1,1)))</f>
        <v/>
      </c>
      <c r="F2152">
        <f>IF(A2152="",0,SUMIF(Rechner!$A$12:$A$21,A2152,Rechner!$B$12:$B$21))</f>
        <v/>
      </c>
      <c r="G2152">
        <f>H2151+E2152</f>
        <v/>
      </c>
      <c r="H2152">
        <f>G2152-MIN(F2152,G2152)</f>
        <v/>
      </c>
      <c r="I2152">
        <f>MIN(F2152-MIN(F2152,G2152),D2152)</f>
        <v/>
      </c>
      <c r="J2152">
        <f>D2152-I2152</f>
        <v/>
      </c>
      <c r="K2152">
        <f>F2152-MIN(F2152,G2152)-I2152</f>
        <v/>
      </c>
    </row>
    <row r="2153">
      <c r="A2153" s="21">
        <f>IF(Rechner!$E$4&lt;&gt;"ok","",IF(Rechner!$E$5+2151&lt;=Rechner!$B$6,Rechner!$E$5+2151,""))</f>
        <v/>
      </c>
      <c r="B2153">
        <f>IF(A2153="","",LOOKUP(A2153,Basiszins!$A$5:$A$18,Basiszins!$B$5:$B$18))</f>
        <v/>
      </c>
      <c r="C2153">
        <f>IF(A2153="","",B2153+Rechner!$E$7)</f>
        <v/>
      </c>
      <c r="D2153">
        <f>J2152</f>
        <v/>
      </c>
      <c r="E2153">
        <f>IF(A2153="",0,D2153*C2153/100/(DATE(YEAR(A2153)+1,1,1)-DATE(YEAR(A2153),1,1)))</f>
        <v/>
      </c>
      <c r="F2153">
        <f>IF(A2153="",0,SUMIF(Rechner!$A$12:$A$21,A2153,Rechner!$B$12:$B$21))</f>
        <v/>
      </c>
      <c r="G2153">
        <f>H2152+E2153</f>
        <v/>
      </c>
      <c r="H2153">
        <f>G2153-MIN(F2153,G2153)</f>
        <v/>
      </c>
      <c r="I2153">
        <f>MIN(F2153-MIN(F2153,G2153),D2153)</f>
        <v/>
      </c>
      <c r="J2153">
        <f>D2153-I2153</f>
        <v/>
      </c>
      <c r="K2153">
        <f>F2153-MIN(F2153,G2153)-I2153</f>
        <v/>
      </c>
    </row>
    <row r="2154">
      <c r="A2154" s="21">
        <f>IF(Rechner!$E$4&lt;&gt;"ok","",IF(Rechner!$E$5+2152&lt;=Rechner!$B$6,Rechner!$E$5+2152,""))</f>
        <v/>
      </c>
      <c r="B2154">
        <f>IF(A2154="","",LOOKUP(A2154,Basiszins!$A$5:$A$18,Basiszins!$B$5:$B$18))</f>
        <v/>
      </c>
      <c r="C2154">
        <f>IF(A2154="","",B2154+Rechner!$E$7)</f>
        <v/>
      </c>
      <c r="D2154">
        <f>J2153</f>
        <v/>
      </c>
      <c r="E2154">
        <f>IF(A2154="",0,D2154*C2154/100/(DATE(YEAR(A2154)+1,1,1)-DATE(YEAR(A2154),1,1)))</f>
        <v/>
      </c>
      <c r="F2154">
        <f>IF(A2154="",0,SUMIF(Rechner!$A$12:$A$21,A2154,Rechner!$B$12:$B$21))</f>
        <v/>
      </c>
      <c r="G2154">
        <f>H2153+E2154</f>
        <v/>
      </c>
      <c r="H2154">
        <f>G2154-MIN(F2154,G2154)</f>
        <v/>
      </c>
      <c r="I2154">
        <f>MIN(F2154-MIN(F2154,G2154),D2154)</f>
        <v/>
      </c>
      <c r="J2154">
        <f>D2154-I2154</f>
        <v/>
      </c>
      <c r="K2154">
        <f>F2154-MIN(F2154,G2154)-I2154</f>
        <v/>
      </c>
    </row>
    <row r="2155">
      <c r="A2155" s="21">
        <f>IF(Rechner!$E$4&lt;&gt;"ok","",IF(Rechner!$E$5+2153&lt;=Rechner!$B$6,Rechner!$E$5+2153,""))</f>
        <v/>
      </c>
      <c r="B2155">
        <f>IF(A2155="","",LOOKUP(A2155,Basiszins!$A$5:$A$18,Basiszins!$B$5:$B$18))</f>
        <v/>
      </c>
      <c r="C2155">
        <f>IF(A2155="","",B2155+Rechner!$E$7)</f>
        <v/>
      </c>
      <c r="D2155">
        <f>J2154</f>
        <v/>
      </c>
      <c r="E2155">
        <f>IF(A2155="",0,D2155*C2155/100/(DATE(YEAR(A2155)+1,1,1)-DATE(YEAR(A2155),1,1)))</f>
        <v/>
      </c>
      <c r="F2155">
        <f>IF(A2155="",0,SUMIF(Rechner!$A$12:$A$21,A2155,Rechner!$B$12:$B$21))</f>
        <v/>
      </c>
      <c r="G2155">
        <f>H2154+E2155</f>
        <v/>
      </c>
      <c r="H2155">
        <f>G2155-MIN(F2155,G2155)</f>
        <v/>
      </c>
      <c r="I2155">
        <f>MIN(F2155-MIN(F2155,G2155),D2155)</f>
        <v/>
      </c>
      <c r="J2155">
        <f>D2155-I2155</f>
        <v/>
      </c>
      <c r="K2155">
        <f>F2155-MIN(F2155,G2155)-I2155</f>
        <v/>
      </c>
    </row>
    <row r="2156">
      <c r="A2156" s="21">
        <f>IF(Rechner!$E$4&lt;&gt;"ok","",IF(Rechner!$E$5+2154&lt;=Rechner!$B$6,Rechner!$E$5+2154,""))</f>
        <v/>
      </c>
      <c r="B2156">
        <f>IF(A2156="","",LOOKUP(A2156,Basiszins!$A$5:$A$18,Basiszins!$B$5:$B$18))</f>
        <v/>
      </c>
      <c r="C2156">
        <f>IF(A2156="","",B2156+Rechner!$E$7)</f>
        <v/>
      </c>
      <c r="D2156">
        <f>J2155</f>
        <v/>
      </c>
      <c r="E2156">
        <f>IF(A2156="",0,D2156*C2156/100/(DATE(YEAR(A2156)+1,1,1)-DATE(YEAR(A2156),1,1)))</f>
        <v/>
      </c>
      <c r="F2156">
        <f>IF(A2156="",0,SUMIF(Rechner!$A$12:$A$21,A2156,Rechner!$B$12:$B$21))</f>
        <v/>
      </c>
      <c r="G2156">
        <f>H2155+E2156</f>
        <v/>
      </c>
      <c r="H2156">
        <f>G2156-MIN(F2156,G2156)</f>
        <v/>
      </c>
      <c r="I2156">
        <f>MIN(F2156-MIN(F2156,G2156),D2156)</f>
        <v/>
      </c>
      <c r="J2156">
        <f>D2156-I2156</f>
        <v/>
      </c>
      <c r="K2156">
        <f>F2156-MIN(F2156,G2156)-I2156</f>
        <v/>
      </c>
    </row>
    <row r="2157">
      <c r="A2157" s="21">
        <f>IF(Rechner!$E$4&lt;&gt;"ok","",IF(Rechner!$E$5+2155&lt;=Rechner!$B$6,Rechner!$E$5+2155,""))</f>
        <v/>
      </c>
      <c r="B2157">
        <f>IF(A2157="","",LOOKUP(A2157,Basiszins!$A$5:$A$18,Basiszins!$B$5:$B$18))</f>
        <v/>
      </c>
      <c r="C2157">
        <f>IF(A2157="","",B2157+Rechner!$E$7)</f>
        <v/>
      </c>
      <c r="D2157">
        <f>J2156</f>
        <v/>
      </c>
      <c r="E2157">
        <f>IF(A2157="",0,D2157*C2157/100/(DATE(YEAR(A2157)+1,1,1)-DATE(YEAR(A2157),1,1)))</f>
        <v/>
      </c>
      <c r="F2157">
        <f>IF(A2157="",0,SUMIF(Rechner!$A$12:$A$21,A2157,Rechner!$B$12:$B$21))</f>
        <v/>
      </c>
      <c r="G2157">
        <f>H2156+E2157</f>
        <v/>
      </c>
      <c r="H2157">
        <f>G2157-MIN(F2157,G2157)</f>
        <v/>
      </c>
      <c r="I2157">
        <f>MIN(F2157-MIN(F2157,G2157),D2157)</f>
        <v/>
      </c>
      <c r="J2157">
        <f>D2157-I2157</f>
        <v/>
      </c>
      <c r="K2157">
        <f>F2157-MIN(F2157,G2157)-I2157</f>
        <v/>
      </c>
    </row>
    <row r="2158">
      <c r="A2158" s="21">
        <f>IF(Rechner!$E$4&lt;&gt;"ok","",IF(Rechner!$E$5+2156&lt;=Rechner!$B$6,Rechner!$E$5+2156,""))</f>
        <v/>
      </c>
      <c r="B2158">
        <f>IF(A2158="","",LOOKUP(A2158,Basiszins!$A$5:$A$18,Basiszins!$B$5:$B$18))</f>
        <v/>
      </c>
      <c r="C2158">
        <f>IF(A2158="","",B2158+Rechner!$E$7)</f>
        <v/>
      </c>
      <c r="D2158">
        <f>J2157</f>
        <v/>
      </c>
      <c r="E2158">
        <f>IF(A2158="",0,D2158*C2158/100/(DATE(YEAR(A2158)+1,1,1)-DATE(YEAR(A2158),1,1)))</f>
        <v/>
      </c>
      <c r="F2158">
        <f>IF(A2158="",0,SUMIF(Rechner!$A$12:$A$21,A2158,Rechner!$B$12:$B$21))</f>
        <v/>
      </c>
      <c r="G2158">
        <f>H2157+E2158</f>
        <v/>
      </c>
      <c r="H2158">
        <f>G2158-MIN(F2158,G2158)</f>
        <v/>
      </c>
      <c r="I2158">
        <f>MIN(F2158-MIN(F2158,G2158),D2158)</f>
        <v/>
      </c>
      <c r="J2158">
        <f>D2158-I2158</f>
        <v/>
      </c>
      <c r="K2158">
        <f>F2158-MIN(F2158,G2158)-I2158</f>
        <v/>
      </c>
    </row>
    <row r="2159">
      <c r="A2159" s="21">
        <f>IF(Rechner!$E$4&lt;&gt;"ok","",IF(Rechner!$E$5+2157&lt;=Rechner!$B$6,Rechner!$E$5+2157,""))</f>
        <v/>
      </c>
      <c r="B2159">
        <f>IF(A2159="","",LOOKUP(A2159,Basiszins!$A$5:$A$18,Basiszins!$B$5:$B$18))</f>
        <v/>
      </c>
      <c r="C2159">
        <f>IF(A2159="","",B2159+Rechner!$E$7)</f>
        <v/>
      </c>
      <c r="D2159">
        <f>J2158</f>
        <v/>
      </c>
      <c r="E2159">
        <f>IF(A2159="",0,D2159*C2159/100/(DATE(YEAR(A2159)+1,1,1)-DATE(YEAR(A2159),1,1)))</f>
        <v/>
      </c>
      <c r="F2159">
        <f>IF(A2159="",0,SUMIF(Rechner!$A$12:$A$21,A2159,Rechner!$B$12:$B$21))</f>
        <v/>
      </c>
      <c r="G2159">
        <f>H2158+E2159</f>
        <v/>
      </c>
      <c r="H2159">
        <f>G2159-MIN(F2159,G2159)</f>
        <v/>
      </c>
      <c r="I2159">
        <f>MIN(F2159-MIN(F2159,G2159),D2159)</f>
        <v/>
      </c>
      <c r="J2159">
        <f>D2159-I2159</f>
        <v/>
      </c>
      <c r="K2159">
        <f>F2159-MIN(F2159,G2159)-I2159</f>
        <v/>
      </c>
    </row>
    <row r="2160">
      <c r="A2160" s="21">
        <f>IF(Rechner!$E$4&lt;&gt;"ok","",IF(Rechner!$E$5+2158&lt;=Rechner!$B$6,Rechner!$E$5+2158,""))</f>
        <v/>
      </c>
      <c r="B2160">
        <f>IF(A2160="","",LOOKUP(A2160,Basiszins!$A$5:$A$18,Basiszins!$B$5:$B$18))</f>
        <v/>
      </c>
      <c r="C2160">
        <f>IF(A2160="","",B2160+Rechner!$E$7)</f>
        <v/>
      </c>
      <c r="D2160">
        <f>J2159</f>
        <v/>
      </c>
      <c r="E2160">
        <f>IF(A2160="",0,D2160*C2160/100/(DATE(YEAR(A2160)+1,1,1)-DATE(YEAR(A2160),1,1)))</f>
        <v/>
      </c>
      <c r="F2160">
        <f>IF(A2160="",0,SUMIF(Rechner!$A$12:$A$21,A2160,Rechner!$B$12:$B$21))</f>
        <v/>
      </c>
      <c r="G2160">
        <f>H2159+E2160</f>
        <v/>
      </c>
      <c r="H2160">
        <f>G2160-MIN(F2160,G2160)</f>
        <v/>
      </c>
      <c r="I2160">
        <f>MIN(F2160-MIN(F2160,G2160),D2160)</f>
        <v/>
      </c>
      <c r="J2160">
        <f>D2160-I2160</f>
        <v/>
      </c>
      <c r="K2160">
        <f>F2160-MIN(F2160,G2160)-I2160</f>
        <v/>
      </c>
    </row>
    <row r="2161">
      <c r="A2161" s="21">
        <f>IF(Rechner!$E$4&lt;&gt;"ok","",IF(Rechner!$E$5+2159&lt;=Rechner!$B$6,Rechner!$E$5+2159,""))</f>
        <v/>
      </c>
      <c r="B2161">
        <f>IF(A2161="","",LOOKUP(A2161,Basiszins!$A$5:$A$18,Basiszins!$B$5:$B$18))</f>
        <v/>
      </c>
      <c r="C2161">
        <f>IF(A2161="","",B2161+Rechner!$E$7)</f>
        <v/>
      </c>
      <c r="D2161">
        <f>J2160</f>
        <v/>
      </c>
      <c r="E2161">
        <f>IF(A2161="",0,D2161*C2161/100/(DATE(YEAR(A2161)+1,1,1)-DATE(YEAR(A2161),1,1)))</f>
        <v/>
      </c>
      <c r="F2161">
        <f>IF(A2161="",0,SUMIF(Rechner!$A$12:$A$21,A2161,Rechner!$B$12:$B$21))</f>
        <v/>
      </c>
      <c r="G2161">
        <f>H2160+E2161</f>
        <v/>
      </c>
      <c r="H2161">
        <f>G2161-MIN(F2161,G2161)</f>
        <v/>
      </c>
      <c r="I2161">
        <f>MIN(F2161-MIN(F2161,G2161),D2161)</f>
        <v/>
      </c>
      <c r="J2161">
        <f>D2161-I2161</f>
        <v/>
      </c>
      <c r="K2161">
        <f>F2161-MIN(F2161,G2161)-I2161</f>
        <v/>
      </c>
    </row>
    <row r="2162">
      <c r="A2162" s="21">
        <f>IF(Rechner!$E$4&lt;&gt;"ok","",IF(Rechner!$E$5+2160&lt;=Rechner!$B$6,Rechner!$E$5+2160,""))</f>
        <v/>
      </c>
      <c r="B2162">
        <f>IF(A2162="","",LOOKUP(A2162,Basiszins!$A$5:$A$18,Basiszins!$B$5:$B$18))</f>
        <v/>
      </c>
      <c r="C2162">
        <f>IF(A2162="","",B2162+Rechner!$E$7)</f>
        <v/>
      </c>
      <c r="D2162">
        <f>J2161</f>
        <v/>
      </c>
      <c r="E2162">
        <f>IF(A2162="",0,D2162*C2162/100/(DATE(YEAR(A2162)+1,1,1)-DATE(YEAR(A2162),1,1)))</f>
        <v/>
      </c>
      <c r="F2162">
        <f>IF(A2162="",0,SUMIF(Rechner!$A$12:$A$21,A2162,Rechner!$B$12:$B$21))</f>
        <v/>
      </c>
      <c r="G2162">
        <f>H2161+E2162</f>
        <v/>
      </c>
      <c r="H2162">
        <f>G2162-MIN(F2162,G2162)</f>
        <v/>
      </c>
      <c r="I2162">
        <f>MIN(F2162-MIN(F2162,G2162),D2162)</f>
        <v/>
      </c>
      <c r="J2162">
        <f>D2162-I2162</f>
        <v/>
      </c>
      <c r="K2162">
        <f>F2162-MIN(F2162,G2162)-I2162</f>
        <v/>
      </c>
    </row>
    <row r="2163">
      <c r="A2163" s="21">
        <f>IF(Rechner!$E$4&lt;&gt;"ok","",IF(Rechner!$E$5+2161&lt;=Rechner!$B$6,Rechner!$E$5+2161,""))</f>
        <v/>
      </c>
      <c r="B2163">
        <f>IF(A2163="","",LOOKUP(A2163,Basiszins!$A$5:$A$18,Basiszins!$B$5:$B$18))</f>
        <v/>
      </c>
      <c r="C2163">
        <f>IF(A2163="","",B2163+Rechner!$E$7)</f>
        <v/>
      </c>
      <c r="D2163">
        <f>J2162</f>
        <v/>
      </c>
      <c r="E2163">
        <f>IF(A2163="",0,D2163*C2163/100/(DATE(YEAR(A2163)+1,1,1)-DATE(YEAR(A2163),1,1)))</f>
        <v/>
      </c>
      <c r="F2163">
        <f>IF(A2163="",0,SUMIF(Rechner!$A$12:$A$21,A2163,Rechner!$B$12:$B$21))</f>
        <v/>
      </c>
      <c r="G2163">
        <f>H2162+E2163</f>
        <v/>
      </c>
      <c r="H2163">
        <f>G2163-MIN(F2163,G2163)</f>
        <v/>
      </c>
      <c r="I2163">
        <f>MIN(F2163-MIN(F2163,G2163),D2163)</f>
        <v/>
      </c>
      <c r="J2163">
        <f>D2163-I2163</f>
        <v/>
      </c>
      <c r="K2163">
        <f>F2163-MIN(F2163,G2163)-I2163</f>
        <v/>
      </c>
    </row>
    <row r="2164">
      <c r="A2164" s="21">
        <f>IF(Rechner!$E$4&lt;&gt;"ok","",IF(Rechner!$E$5+2162&lt;=Rechner!$B$6,Rechner!$E$5+2162,""))</f>
        <v/>
      </c>
      <c r="B2164">
        <f>IF(A2164="","",LOOKUP(A2164,Basiszins!$A$5:$A$18,Basiszins!$B$5:$B$18))</f>
        <v/>
      </c>
      <c r="C2164">
        <f>IF(A2164="","",B2164+Rechner!$E$7)</f>
        <v/>
      </c>
      <c r="D2164">
        <f>J2163</f>
        <v/>
      </c>
      <c r="E2164">
        <f>IF(A2164="",0,D2164*C2164/100/(DATE(YEAR(A2164)+1,1,1)-DATE(YEAR(A2164),1,1)))</f>
        <v/>
      </c>
      <c r="F2164">
        <f>IF(A2164="",0,SUMIF(Rechner!$A$12:$A$21,A2164,Rechner!$B$12:$B$21))</f>
        <v/>
      </c>
      <c r="G2164">
        <f>H2163+E2164</f>
        <v/>
      </c>
      <c r="H2164">
        <f>G2164-MIN(F2164,G2164)</f>
        <v/>
      </c>
      <c r="I2164">
        <f>MIN(F2164-MIN(F2164,G2164),D2164)</f>
        <v/>
      </c>
      <c r="J2164">
        <f>D2164-I2164</f>
        <v/>
      </c>
      <c r="K2164">
        <f>F2164-MIN(F2164,G2164)-I2164</f>
        <v/>
      </c>
    </row>
    <row r="2165">
      <c r="A2165" s="21">
        <f>IF(Rechner!$E$4&lt;&gt;"ok","",IF(Rechner!$E$5+2163&lt;=Rechner!$B$6,Rechner!$E$5+2163,""))</f>
        <v/>
      </c>
      <c r="B2165">
        <f>IF(A2165="","",LOOKUP(A2165,Basiszins!$A$5:$A$18,Basiszins!$B$5:$B$18))</f>
        <v/>
      </c>
      <c r="C2165">
        <f>IF(A2165="","",B2165+Rechner!$E$7)</f>
        <v/>
      </c>
      <c r="D2165">
        <f>J2164</f>
        <v/>
      </c>
      <c r="E2165">
        <f>IF(A2165="",0,D2165*C2165/100/(DATE(YEAR(A2165)+1,1,1)-DATE(YEAR(A2165),1,1)))</f>
        <v/>
      </c>
      <c r="F2165">
        <f>IF(A2165="",0,SUMIF(Rechner!$A$12:$A$21,A2165,Rechner!$B$12:$B$21))</f>
        <v/>
      </c>
      <c r="G2165">
        <f>H2164+E2165</f>
        <v/>
      </c>
      <c r="H2165">
        <f>G2165-MIN(F2165,G2165)</f>
        <v/>
      </c>
      <c r="I2165">
        <f>MIN(F2165-MIN(F2165,G2165),D2165)</f>
        <v/>
      </c>
      <c r="J2165">
        <f>D2165-I2165</f>
        <v/>
      </c>
      <c r="K2165">
        <f>F2165-MIN(F2165,G2165)-I2165</f>
        <v/>
      </c>
    </row>
    <row r="2166">
      <c r="A2166" s="21">
        <f>IF(Rechner!$E$4&lt;&gt;"ok","",IF(Rechner!$E$5+2164&lt;=Rechner!$B$6,Rechner!$E$5+2164,""))</f>
        <v/>
      </c>
      <c r="B2166">
        <f>IF(A2166="","",LOOKUP(A2166,Basiszins!$A$5:$A$18,Basiszins!$B$5:$B$18))</f>
        <v/>
      </c>
      <c r="C2166">
        <f>IF(A2166="","",B2166+Rechner!$E$7)</f>
        <v/>
      </c>
      <c r="D2166">
        <f>J2165</f>
        <v/>
      </c>
      <c r="E2166">
        <f>IF(A2166="",0,D2166*C2166/100/(DATE(YEAR(A2166)+1,1,1)-DATE(YEAR(A2166),1,1)))</f>
        <v/>
      </c>
      <c r="F2166">
        <f>IF(A2166="",0,SUMIF(Rechner!$A$12:$A$21,A2166,Rechner!$B$12:$B$21))</f>
        <v/>
      </c>
      <c r="G2166">
        <f>H2165+E2166</f>
        <v/>
      </c>
      <c r="H2166">
        <f>G2166-MIN(F2166,G2166)</f>
        <v/>
      </c>
      <c r="I2166">
        <f>MIN(F2166-MIN(F2166,G2166),D2166)</f>
        <v/>
      </c>
      <c r="J2166">
        <f>D2166-I2166</f>
        <v/>
      </c>
      <c r="K2166">
        <f>F2166-MIN(F2166,G2166)-I2166</f>
        <v/>
      </c>
    </row>
    <row r="2167">
      <c r="A2167" s="21">
        <f>IF(Rechner!$E$4&lt;&gt;"ok","",IF(Rechner!$E$5+2165&lt;=Rechner!$B$6,Rechner!$E$5+2165,""))</f>
        <v/>
      </c>
      <c r="B2167">
        <f>IF(A2167="","",LOOKUP(A2167,Basiszins!$A$5:$A$18,Basiszins!$B$5:$B$18))</f>
        <v/>
      </c>
      <c r="C2167">
        <f>IF(A2167="","",B2167+Rechner!$E$7)</f>
        <v/>
      </c>
      <c r="D2167">
        <f>J2166</f>
        <v/>
      </c>
      <c r="E2167">
        <f>IF(A2167="",0,D2167*C2167/100/(DATE(YEAR(A2167)+1,1,1)-DATE(YEAR(A2167),1,1)))</f>
        <v/>
      </c>
      <c r="F2167">
        <f>IF(A2167="",0,SUMIF(Rechner!$A$12:$A$21,A2167,Rechner!$B$12:$B$21))</f>
        <v/>
      </c>
      <c r="G2167">
        <f>H2166+E2167</f>
        <v/>
      </c>
      <c r="H2167">
        <f>G2167-MIN(F2167,G2167)</f>
        <v/>
      </c>
      <c r="I2167">
        <f>MIN(F2167-MIN(F2167,G2167),D2167)</f>
        <v/>
      </c>
      <c r="J2167">
        <f>D2167-I2167</f>
        <v/>
      </c>
      <c r="K2167">
        <f>F2167-MIN(F2167,G2167)-I2167</f>
        <v/>
      </c>
    </row>
    <row r="2168">
      <c r="A2168" s="21">
        <f>IF(Rechner!$E$4&lt;&gt;"ok","",IF(Rechner!$E$5+2166&lt;=Rechner!$B$6,Rechner!$E$5+2166,""))</f>
        <v/>
      </c>
      <c r="B2168">
        <f>IF(A2168="","",LOOKUP(A2168,Basiszins!$A$5:$A$18,Basiszins!$B$5:$B$18))</f>
        <v/>
      </c>
      <c r="C2168">
        <f>IF(A2168="","",B2168+Rechner!$E$7)</f>
        <v/>
      </c>
      <c r="D2168">
        <f>J2167</f>
        <v/>
      </c>
      <c r="E2168">
        <f>IF(A2168="",0,D2168*C2168/100/(DATE(YEAR(A2168)+1,1,1)-DATE(YEAR(A2168),1,1)))</f>
        <v/>
      </c>
      <c r="F2168">
        <f>IF(A2168="",0,SUMIF(Rechner!$A$12:$A$21,A2168,Rechner!$B$12:$B$21))</f>
        <v/>
      </c>
      <c r="G2168">
        <f>H2167+E2168</f>
        <v/>
      </c>
      <c r="H2168">
        <f>G2168-MIN(F2168,G2168)</f>
        <v/>
      </c>
      <c r="I2168">
        <f>MIN(F2168-MIN(F2168,G2168),D2168)</f>
        <v/>
      </c>
      <c r="J2168">
        <f>D2168-I2168</f>
        <v/>
      </c>
      <c r="K2168">
        <f>F2168-MIN(F2168,G2168)-I2168</f>
        <v/>
      </c>
    </row>
    <row r="2169">
      <c r="A2169" s="21">
        <f>IF(Rechner!$E$4&lt;&gt;"ok","",IF(Rechner!$E$5+2167&lt;=Rechner!$B$6,Rechner!$E$5+2167,""))</f>
        <v/>
      </c>
      <c r="B2169">
        <f>IF(A2169="","",LOOKUP(A2169,Basiszins!$A$5:$A$18,Basiszins!$B$5:$B$18))</f>
        <v/>
      </c>
      <c r="C2169">
        <f>IF(A2169="","",B2169+Rechner!$E$7)</f>
        <v/>
      </c>
      <c r="D2169">
        <f>J2168</f>
        <v/>
      </c>
      <c r="E2169">
        <f>IF(A2169="",0,D2169*C2169/100/(DATE(YEAR(A2169)+1,1,1)-DATE(YEAR(A2169),1,1)))</f>
        <v/>
      </c>
      <c r="F2169">
        <f>IF(A2169="",0,SUMIF(Rechner!$A$12:$A$21,A2169,Rechner!$B$12:$B$21))</f>
        <v/>
      </c>
      <c r="G2169">
        <f>H2168+E2169</f>
        <v/>
      </c>
      <c r="H2169">
        <f>G2169-MIN(F2169,G2169)</f>
        <v/>
      </c>
      <c r="I2169">
        <f>MIN(F2169-MIN(F2169,G2169),D2169)</f>
        <v/>
      </c>
      <c r="J2169">
        <f>D2169-I2169</f>
        <v/>
      </c>
      <c r="K2169">
        <f>F2169-MIN(F2169,G2169)-I2169</f>
        <v/>
      </c>
    </row>
    <row r="2170">
      <c r="A2170" s="21">
        <f>IF(Rechner!$E$4&lt;&gt;"ok","",IF(Rechner!$E$5+2168&lt;=Rechner!$B$6,Rechner!$E$5+2168,""))</f>
        <v/>
      </c>
      <c r="B2170">
        <f>IF(A2170="","",LOOKUP(A2170,Basiszins!$A$5:$A$18,Basiszins!$B$5:$B$18))</f>
        <v/>
      </c>
      <c r="C2170">
        <f>IF(A2170="","",B2170+Rechner!$E$7)</f>
        <v/>
      </c>
      <c r="D2170">
        <f>J2169</f>
        <v/>
      </c>
      <c r="E2170">
        <f>IF(A2170="",0,D2170*C2170/100/(DATE(YEAR(A2170)+1,1,1)-DATE(YEAR(A2170),1,1)))</f>
        <v/>
      </c>
      <c r="F2170">
        <f>IF(A2170="",0,SUMIF(Rechner!$A$12:$A$21,A2170,Rechner!$B$12:$B$21))</f>
        <v/>
      </c>
      <c r="G2170">
        <f>H2169+E2170</f>
        <v/>
      </c>
      <c r="H2170">
        <f>G2170-MIN(F2170,G2170)</f>
        <v/>
      </c>
      <c r="I2170">
        <f>MIN(F2170-MIN(F2170,G2170),D2170)</f>
        <v/>
      </c>
      <c r="J2170">
        <f>D2170-I2170</f>
        <v/>
      </c>
      <c r="K2170">
        <f>F2170-MIN(F2170,G2170)-I2170</f>
        <v/>
      </c>
    </row>
    <row r="2171">
      <c r="A2171" s="21">
        <f>IF(Rechner!$E$4&lt;&gt;"ok","",IF(Rechner!$E$5+2169&lt;=Rechner!$B$6,Rechner!$E$5+2169,""))</f>
        <v/>
      </c>
      <c r="B2171">
        <f>IF(A2171="","",LOOKUP(A2171,Basiszins!$A$5:$A$18,Basiszins!$B$5:$B$18))</f>
        <v/>
      </c>
      <c r="C2171">
        <f>IF(A2171="","",B2171+Rechner!$E$7)</f>
        <v/>
      </c>
      <c r="D2171">
        <f>J2170</f>
        <v/>
      </c>
      <c r="E2171">
        <f>IF(A2171="",0,D2171*C2171/100/(DATE(YEAR(A2171)+1,1,1)-DATE(YEAR(A2171),1,1)))</f>
        <v/>
      </c>
      <c r="F2171">
        <f>IF(A2171="",0,SUMIF(Rechner!$A$12:$A$21,A2171,Rechner!$B$12:$B$21))</f>
        <v/>
      </c>
      <c r="G2171">
        <f>H2170+E2171</f>
        <v/>
      </c>
      <c r="H2171">
        <f>G2171-MIN(F2171,G2171)</f>
        <v/>
      </c>
      <c r="I2171">
        <f>MIN(F2171-MIN(F2171,G2171),D2171)</f>
        <v/>
      </c>
      <c r="J2171">
        <f>D2171-I2171</f>
        <v/>
      </c>
      <c r="K2171">
        <f>F2171-MIN(F2171,G2171)-I2171</f>
        <v/>
      </c>
    </row>
    <row r="2172">
      <c r="A2172" s="21">
        <f>IF(Rechner!$E$4&lt;&gt;"ok","",IF(Rechner!$E$5+2170&lt;=Rechner!$B$6,Rechner!$E$5+2170,""))</f>
        <v/>
      </c>
      <c r="B2172">
        <f>IF(A2172="","",LOOKUP(A2172,Basiszins!$A$5:$A$18,Basiszins!$B$5:$B$18))</f>
        <v/>
      </c>
      <c r="C2172">
        <f>IF(A2172="","",B2172+Rechner!$E$7)</f>
        <v/>
      </c>
      <c r="D2172">
        <f>J2171</f>
        <v/>
      </c>
      <c r="E2172">
        <f>IF(A2172="",0,D2172*C2172/100/(DATE(YEAR(A2172)+1,1,1)-DATE(YEAR(A2172),1,1)))</f>
        <v/>
      </c>
      <c r="F2172">
        <f>IF(A2172="",0,SUMIF(Rechner!$A$12:$A$21,A2172,Rechner!$B$12:$B$21))</f>
        <v/>
      </c>
      <c r="G2172">
        <f>H2171+E2172</f>
        <v/>
      </c>
      <c r="H2172">
        <f>G2172-MIN(F2172,G2172)</f>
        <v/>
      </c>
      <c r="I2172">
        <f>MIN(F2172-MIN(F2172,G2172),D2172)</f>
        <v/>
      </c>
      <c r="J2172">
        <f>D2172-I2172</f>
        <v/>
      </c>
      <c r="K2172">
        <f>F2172-MIN(F2172,G2172)-I2172</f>
        <v/>
      </c>
    </row>
    <row r="2173">
      <c r="A2173" s="21">
        <f>IF(Rechner!$E$4&lt;&gt;"ok","",IF(Rechner!$E$5+2171&lt;=Rechner!$B$6,Rechner!$E$5+2171,""))</f>
        <v/>
      </c>
      <c r="B2173">
        <f>IF(A2173="","",LOOKUP(A2173,Basiszins!$A$5:$A$18,Basiszins!$B$5:$B$18))</f>
        <v/>
      </c>
      <c r="C2173">
        <f>IF(A2173="","",B2173+Rechner!$E$7)</f>
        <v/>
      </c>
      <c r="D2173">
        <f>J2172</f>
        <v/>
      </c>
      <c r="E2173">
        <f>IF(A2173="",0,D2173*C2173/100/(DATE(YEAR(A2173)+1,1,1)-DATE(YEAR(A2173),1,1)))</f>
        <v/>
      </c>
      <c r="F2173">
        <f>IF(A2173="",0,SUMIF(Rechner!$A$12:$A$21,A2173,Rechner!$B$12:$B$21))</f>
        <v/>
      </c>
      <c r="G2173">
        <f>H2172+E2173</f>
        <v/>
      </c>
      <c r="H2173">
        <f>G2173-MIN(F2173,G2173)</f>
        <v/>
      </c>
      <c r="I2173">
        <f>MIN(F2173-MIN(F2173,G2173),D2173)</f>
        <v/>
      </c>
      <c r="J2173">
        <f>D2173-I2173</f>
        <v/>
      </c>
      <c r="K2173">
        <f>F2173-MIN(F2173,G2173)-I2173</f>
        <v/>
      </c>
    </row>
    <row r="2174">
      <c r="A2174" s="21">
        <f>IF(Rechner!$E$4&lt;&gt;"ok","",IF(Rechner!$E$5+2172&lt;=Rechner!$B$6,Rechner!$E$5+2172,""))</f>
        <v/>
      </c>
      <c r="B2174">
        <f>IF(A2174="","",LOOKUP(A2174,Basiszins!$A$5:$A$18,Basiszins!$B$5:$B$18))</f>
        <v/>
      </c>
      <c r="C2174">
        <f>IF(A2174="","",B2174+Rechner!$E$7)</f>
        <v/>
      </c>
      <c r="D2174">
        <f>J2173</f>
        <v/>
      </c>
      <c r="E2174">
        <f>IF(A2174="",0,D2174*C2174/100/(DATE(YEAR(A2174)+1,1,1)-DATE(YEAR(A2174),1,1)))</f>
        <v/>
      </c>
      <c r="F2174">
        <f>IF(A2174="",0,SUMIF(Rechner!$A$12:$A$21,A2174,Rechner!$B$12:$B$21))</f>
        <v/>
      </c>
      <c r="G2174">
        <f>H2173+E2174</f>
        <v/>
      </c>
      <c r="H2174">
        <f>G2174-MIN(F2174,G2174)</f>
        <v/>
      </c>
      <c r="I2174">
        <f>MIN(F2174-MIN(F2174,G2174),D2174)</f>
        <v/>
      </c>
      <c r="J2174">
        <f>D2174-I2174</f>
        <v/>
      </c>
      <c r="K2174">
        <f>F2174-MIN(F2174,G2174)-I2174</f>
        <v/>
      </c>
    </row>
    <row r="2175">
      <c r="A2175" s="21">
        <f>IF(Rechner!$E$4&lt;&gt;"ok","",IF(Rechner!$E$5+2173&lt;=Rechner!$B$6,Rechner!$E$5+2173,""))</f>
        <v/>
      </c>
      <c r="B2175">
        <f>IF(A2175="","",LOOKUP(A2175,Basiszins!$A$5:$A$18,Basiszins!$B$5:$B$18))</f>
        <v/>
      </c>
      <c r="C2175">
        <f>IF(A2175="","",B2175+Rechner!$E$7)</f>
        <v/>
      </c>
      <c r="D2175">
        <f>J2174</f>
        <v/>
      </c>
      <c r="E2175">
        <f>IF(A2175="",0,D2175*C2175/100/(DATE(YEAR(A2175)+1,1,1)-DATE(YEAR(A2175),1,1)))</f>
        <v/>
      </c>
      <c r="F2175">
        <f>IF(A2175="",0,SUMIF(Rechner!$A$12:$A$21,A2175,Rechner!$B$12:$B$21))</f>
        <v/>
      </c>
      <c r="G2175">
        <f>H2174+E2175</f>
        <v/>
      </c>
      <c r="H2175">
        <f>G2175-MIN(F2175,G2175)</f>
        <v/>
      </c>
      <c r="I2175">
        <f>MIN(F2175-MIN(F2175,G2175),D2175)</f>
        <v/>
      </c>
      <c r="J2175">
        <f>D2175-I2175</f>
        <v/>
      </c>
      <c r="K2175">
        <f>F2175-MIN(F2175,G2175)-I2175</f>
        <v/>
      </c>
    </row>
    <row r="2176">
      <c r="A2176" s="21">
        <f>IF(Rechner!$E$4&lt;&gt;"ok","",IF(Rechner!$E$5+2174&lt;=Rechner!$B$6,Rechner!$E$5+2174,""))</f>
        <v/>
      </c>
      <c r="B2176">
        <f>IF(A2176="","",LOOKUP(A2176,Basiszins!$A$5:$A$18,Basiszins!$B$5:$B$18))</f>
        <v/>
      </c>
      <c r="C2176">
        <f>IF(A2176="","",B2176+Rechner!$E$7)</f>
        <v/>
      </c>
      <c r="D2176">
        <f>J2175</f>
        <v/>
      </c>
      <c r="E2176">
        <f>IF(A2176="",0,D2176*C2176/100/(DATE(YEAR(A2176)+1,1,1)-DATE(YEAR(A2176),1,1)))</f>
        <v/>
      </c>
      <c r="F2176">
        <f>IF(A2176="",0,SUMIF(Rechner!$A$12:$A$21,A2176,Rechner!$B$12:$B$21))</f>
        <v/>
      </c>
      <c r="G2176">
        <f>H2175+E2176</f>
        <v/>
      </c>
      <c r="H2176">
        <f>G2176-MIN(F2176,G2176)</f>
        <v/>
      </c>
      <c r="I2176">
        <f>MIN(F2176-MIN(F2176,G2176),D2176)</f>
        <v/>
      </c>
      <c r="J2176">
        <f>D2176-I2176</f>
        <v/>
      </c>
      <c r="K2176">
        <f>F2176-MIN(F2176,G2176)-I2176</f>
        <v/>
      </c>
    </row>
    <row r="2177">
      <c r="A2177" s="21">
        <f>IF(Rechner!$E$4&lt;&gt;"ok","",IF(Rechner!$E$5+2175&lt;=Rechner!$B$6,Rechner!$E$5+2175,""))</f>
        <v/>
      </c>
      <c r="B2177">
        <f>IF(A2177="","",LOOKUP(A2177,Basiszins!$A$5:$A$18,Basiszins!$B$5:$B$18))</f>
        <v/>
      </c>
      <c r="C2177">
        <f>IF(A2177="","",B2177+Rechner!$E$7)</f>
        <v/>
      </c>
      <c r="D2177">
        <f>J2176</f>
        <v/>
      </c>
      <c r="E2177">
        <f>IF(A2177="",0,D2177*C2177/100/(DATE(YEAR(A2177)+1,1,1)-DATE(YEAR(A2177),1,1)))</f>
        <v/>
      </c>
      <c r="F2177">
        <f>IF(A2177="",0,SUMIF(Rechner!$A$12:$A$21,A2177,Rechner!$B$12:$B$21))</f>
        <v/>
      </c>
      <c r="G2177">
        <f>H2176+E2177</f>
        <v/>
      </c>
      <c r="H2177">
        <f>G2177-MIN(F2177,G2177)</f>
        <v/>
      </c>
      <c r="I2177">
        <f>MIN(F2177-MIN(F2177,G2177),D2177)</f>
        <v/>
      </c>
      <c r="J2177">
        <f>D2177-I2177</f>
        <v/>
      </c>
      <c r="K2177">
        <f>F2177-MIN(F2177,G2177)-I2177</f>
        <v/>
      </c>
    </row>
    <row r="2178">
      <c r="A2178" s="21">
        <f>IF(Rechner!$E$4&lt;&gt;"ok","",IF(Rechner!$E$5+2176&lt;=Rechner!$B$6,Rechner!$E$5+2176,""))</f>
        <v/>
      </c>
      <c r="B2178">
        <f>IF(A2178="","",LOOKUP(A2178,Basiszins!$A$5:$A$18,Basiszins!$B$5:$B$18))</f>
        <v/>
      </c>
      <c r="C2178">
        <f>IF(A2178="","",B2178+Rechner!$E$7)</f>
        <v/>
      </c>
      <c r="D2178">
        <f>J2177</f>
        <v/>
      </c>
      <c r="E2178">
        <f>IF(A2178="",0,D2178*C2178/100/(DATE(YEAR(A2178)+1,1,1)-DATE(YEAR(A2178),1,1)))</f>
        <v/>
      </c>
      <c r="F2178">
        <f>IF(A2178="",0,SUMIF(Rechner!$A$12:$A$21,A2178,Rechner!$B$12:$B$21))</f>
        <v/>
      </c>
      <c r="G2178">
        <f>H2177+E2178</f>
        <v/>
      </c>
      <c r="H2178">
        <f>G2178-MIN(F2178,G2178)</f>
        <v/>
      </c>
      <c r="I2178">
        <f>MIN(F2178-MIN(F2178,G2178),D2178)</f>
        <v/>
      </c>
      <c r="J2178">
        <f>D2178-I2178</f>
        <v/>
      </c>
      <c r="K2178">
        <f>F2178-MIN(F2178,G2178)-I2178</f>
        <v/>
      </c>
    </row>
    <row r="2179">
      <c r="A2179" s="21">
        <f>IF(Rechner!$E$4&lt;&gt;"ok","",IF(Rechner!$E$5+2177&lt;=Rechner!$B$6,Rechner!$E$5+2177,""))</f>
        <v/>
      </c>
      <c r="B2179">
        <f>IF(A2179="","",LOOKUP(A2179,Basiszins!$A$5:$A$18,Basiszins!$B$5:$B$18))</f>
        <v/>
      </c>
      <c r="C2179">
        <f>IF(A2179="","",B2179+Rechner!$E$7)</f>
        <v/>
      </c>
      <c r="D2179">
        <f>J2178</f>
        <v/>
      </c>
      <c r="E2179">
        <f>IF(A2179="",0,D2179*C2179/100/(DATE(YEAR(A2179)+1,1,1)-DATE(YEAR(A2179),1,1)))</f>
        <v/>
      </c>
      <c r="F2179">
        <f>IF(A2179="",0,SUMIF(Rechner!$A$12:$A$21,A2179,Rechner!$B$12:$B$21))</f>
        <v/>
      </c>
      <c r="G2179">
        <f>H2178+E2179</f>
        <v/>
      </c>
      <c r="H2179">
        <f>G2179-MIN(F2179,G2179)</f>
        <v/>
      </c>
      <c r="I2179">
        <f>MIN(F2179-MIN(F2179,G2179),D2179)</f>
        <v/>
      </c>
      <c r="J2179">
        <f>D2179-I2179</f>
        <v/>
      </c>
      <c r="K2179">
        <f>F2179-MIN(F2179,G2179)-I2179</f>
        <v/>
      </c>
    </row>
    <row r="2180">
      <c r="A2180" s="21">
        <f>IF(Rechner!$E$4&lt;&gt;"ok","",IF(Rechner!$E$5+2178&lt;=Rechner!$B$6,Rechner!$E$5+2178,""))</f>
        <v/>
      </c>
      <c r="B2180">
        <f>IF(A2180="","",LOOKUP(A2180,Basiszins!$A$5:$A$18,Basiszins!$B$5:$B$18))</f>
        <v/>
      </c>
      <c r="C2180">
        <f>IF(A2180="","",B2180+Rechner!$E$7)</f>
        <v/>
      </c>
      <c r="D2180">
        <f>J2179</f>
        <v/>
      </c>
      <c r="E2180">
        <f>IF(A2180="",0,D2180*C2180/100/(DATE(YEAR(A2180)+1,1,1)-DATE(YEAR(A2180),1,1)))</f>
        <v/>
      </c>
      <c r="F2180">
        <f>IF(A2180="",0,SUMIF(Rechner!$A$12:$A$21,A2180,Rechner!$B$12:$B$21))</f>
        <v/>
      </c>
      <c r="G2180">
        <f>H2179+E2180</f>
        <v/>
      </c>
      <c r="H2180">
        <f>G2180-MIN(F2180,G2180)</f>
        <v/>
      </c>
      <c r="I2180">
        <f>MIN(F2180-MIN(F2180,G2180),D2180)</f>
        <v/>
      </c>
      <c r="J2180">
        <f>D2180-I2180</f>
        <v/>
      </c>
      <c r="K2180">
        <f>F2180-MIN(F2180,G2180)-I2180</f>
        <v/>
      </c>
    </row>
    <row r="2181">
      <c r="A2181" s="21">
        <f>IF(Rechner!$E$4&lt;&gt;"ok","",IF(Rechner!$E$5+2179&lt;=Rechner!$B$6,Rechner!$E$5+2179,""))</f>
        <v/>
      </c>
      <c r="B2181">
        <f>IF(A2181="","",LOOKUP(A2181,Basiszins!$A$5:$A$18,Basiszins!$B$5:$B$18))</f>
        <v/>
      </c>
      <c r="C2181">
        <f>IF(A2181="","",B2181+Rechner!$E$7)</f>
        <v/>
      </c>
      <c r="D2181">
        <f>J2180</f>
        <v/>
      </c>
      <c r="E2181">
        <f>IF(A2181="",0,D2181*C2181/100/(DATE(YEAR(A2181)+1,1,1)-DATE(YEAR(A2181),1,1)))</f>
        <v/>
      </c>
      <c r="F2181">
        <f>IF(A2181="",0,SUMIF(Rechner!$A$12:$A$21,A2181,Rechner!$B$12:$B$21))</f>
        <v/>
      </c>
      <c r="G2181">
        <f>H2180+E2181</f>
        <v/>
      </c>
      <c r="H2181">
        <f>G2181-MIN(F2181,G2181)</f>
        <v/>
      </c>
      <c r="I2181">
        <f>MIN(F2181-MIN(F2181,G2181),D2181)</f>
        <v/>
      </c>
      <c r="J2181">
        <f>D2181-I2181</f>
        <v/>
      </c>
      <c r="K2181">
        <f>F2181-MIN(F2181,G2181)-I2181</f>
        <v/>
      </c>
    </row>
    <row r="2182">
      <c r="A2182" s="21">
        <f>IF(Rechner!$E$4&lt;&gt;"ok","",IF(Rechner!$E$5+2180&lt;=Rechner!$B$6,Rechner!$E$5+2180,""))</f>
        <v/>
      </c>
      <c r="B2182">
        <f>IF(A2182="","",LOOKUP(A2182,Basiszins!$A$5:$A$18,Basiszins!$B$5:$B$18))</f>
        <v/>
      </c>
      <c r="C2182">
        <f>IF(A2182="","",B2182+Rechner!$E$7)</f>
        <v/>
      </c>
      <c r="D2182">
        <f>J2181</f>
        <v/>
      </c>
      <c r="E2182">
        <f>IF(A2182="",0,D2182*C2182/100/(DATE(YEAR(A2182)+1,1,1)-DATE(YEAR(A2182),1,1)))</f>
        <v/>
      </c>
      <c r="F2182">
        <f>IF(A2182="",0,SUMIF(Rechner!$A$12:$A$21,A2182,Rechner!$B$12:$B$21))</f>
        <v/>
      </c>
      <c r="G2182">
        <f>H2181+E2182</f>
        <v/>
      </c>
      <c r="H2182">
        <f>G2182-MIN(F2182,G2182)</f>
        <v/>
      </c>
      <c r="I2182">
        <f>MIN(F2182-MIN(F2182,G2182),D2182)</f>
        <v/>
      </c>
      <c r="J2182">
        <f>D2182-I2182</f>
        <v/>
      </c>
      <c r="K2182">
        <f>F2182-MIN(F2182,G2182)-I2182</f>
        <v/>
      </c>
    </row>
    <row r="2183">
      <c r="A2183" s="21">
        <f>IF(Rechner!$E$4&lt;&gt;"ok","",IF(Rechner!$E$5+2181&lt;=Rechner!$B$6,Rechner!$E$5+2181,""))</f>
        <v/>
      </c>
      <c r="B2183">
        <f>IF(A2183="","",LOOKUP(A2183,Basiszins!$A$5:$A$18,Basiszins!$B$5:$B$18))</f>
        <v/>
      </c>
      <c r="C2183">
        <f>IF(A2183="","",B2183+Rechner!$E$7)</f>
        <v/>
      </c>
      <c r="D2183">
        <f>J2182</f>
        <v/>
      </c>
      <c r="E2183">
        <f>IF(A2183="",0,D2183*C2183/100/(DATE(YEAR(A2183)+1,1,1)-DATE(YEAR(A2183),1,1)))</f>
        <v/>
      </c>
      <c r="F2183">
        <f>IF(A2183="",0,SUMIF(Rechner!$A$12:$A$21,A2183,Rechner!$B$12:$B$21))</f>
        <v/>
      </c>
      <c r="G2183">
        <f>H2182+E2183</f>
        <v/>
      </c>
      <c r="H2183">
        <f>G2183-MIN(F2183,G2183)</f>
        <v/>
      </c>
      <c r="I2183">
        <f>MIN(F2183-MIN(F2183,G2183),D2183)</f>
        <v/>
      </c>
      <c r="J2183">
        <f>D2183-I2183</f>
        <v/>
      </c>
      <c r="K2183">
        <f>F2183-MIN(F2183,G2183)-I2183</f>
        <v/>
      </c>
    </row>
    <row r="2184">
      <c r="A2184" s="21">
        <f>IF(Rechner!$E$4&lt;&gt;"ok","",IF(Rechner!$E$5+2182&lt;=Rechner!$B$6,Rechner!$E$5+2182,""))</f>
        <v/>
      </c>
      <c r="B2184">
        <f>IF(A2184="","",LOOKUP(A2184,Basiszins!$A$5:$A$18,Basiszins!$B$5:$B$18))</f>
        <v/>
      </c>
      <c r="C2184">
        <f>IF(A2184="","",B2184+Rechner!$E$7)</f>
        <v/>
      </c>
      <c r="D2184">
        <f>J2183</f>
        <v/>
      </c>
      <c r="E2184">
        <f>IF(A2184="",0,D2184*C2184/100/(DATE(YEAR(A2184)+1,1,1)-DATE(YEAR(A2184),1,1)))</f>
        <v/>
      </c>
      <c r="F2184">
        <f>IF(A2184="",0,SUMIF(Rechner!$A$12:$A$21,A2184,Rechner!$B$12:$B$21))</f>
        <v/>
      </c>
      <c r="G2184">
        <f>H2183+E2184</f>
        <v/>
      </c>
      <c r="H2184">
        <f>G2184-MIN(F2184,G2184)</f>
        <v/>
      </c>
      <c r="I2184">
        <f>MIN(F2184-MIN(F2184,G2184),D2184)</f>
        <v/>
      </c>
      <c r="J2184">
        <f>D2184-I2184</f>
        <v/>
      </c>
      <c r="K2184">
        <f>F2184-MIN(F2184,G2184)-I2184</f>
        <v/>
      </c>
    </row>
    <row r="2185">
      <c r="A2185" s="21">
        <f>IF(Rechner!$E$4&lt;&gt;"ok","",IF(Rechner!$E$5+2183&lt;=Rechner!$B$6,Rechner!$E$5+2183,""))</f>
        <v/>
      </c>
      <c r="B2185">
        <f>IF(A2185="","",LOOKUP(A2185,Basiszins!$A$5:$A$18,Basiszins!$B$5:$B$18))</f>
        <v/>
      </c>
      <c r="C2185">
        <f>IF(A2185="","",B2185+Rechner!$E$7)</f>
        <v/>
      </c>
      <c r="D2185">
        <f>J2184</f>
        <v/>
      </c>
      <c r="E2185">
        <f>IF(A2185="",0,D2185*C2185/100/(DATE(YEAR(A2185)+1,1,1)-DATE(YEAR(A2185),1,1)))</f>
        <v/>
      </c>
      <c r="F2185">
        <f>IF(A2185="",0,SUMIF(Rechner!$A$12:$A$21,A2185,Rechner!$B$12:$B$21))</f>
        <v/>
      </c>
      <c r="G2185">
        <f>H2184+E2185</f>
        <v/>
      </c>
      <c r="H2185">
        <f>G2185-MIN(F2185,G2185)</f>
        <v/>
      </c>
      <c r="I2185">
        <f>MIN(F2185-MIN(F2185,G2185),D2185)</f>
        <v/>
      </c>
      <c r="J2185">
        <f>D2185-I2185</f>
        <v/>
      </c>
      <c r="K2185">
        <f>F2185-MIN(F2185,G2185)-I2185</f>
        <v/>
      </c>
    </row>
    <row r="2186">
      <c r="A2186" s="21">
        <f>IF(Rechner!$E$4&lt;&gt;"ok","",IF(Rechner!$E$5+2184&lt;=Rechner!$B$6,Rechner!$E$5+2184,""))</f>
        <v/>
      </c>
      <c r="B2186">
        <f>IF(A2186="","",LOOKUP(A2186,Basiszins!$A$5:$A$18,Basiszins!$B$5:$B$18))</f>
        <v/>
      </c>
      <c r="C2186">
        <f>IF(A2186="","",B2186+Rechner!$E$7)</f>
        <v/>
      </c>
      <c r="D2186">
        <f>J2185</f>
        <v/>
      </c>
      <c r="E2186">
        <f>IF(A2186="",0,D2186*C2186/100/(DATE(YEAR(A2186)+1,1,1)-DATE(YEAR(A2186),1,1)))</f>
        <v/>
      </c>
      <c r="F2186">
        <f>IF(A2186="",0,SUMIF(Rechner!$A$12:$A$21,A2186,Rechner!$B$12:$B$21))</f>
        <v/>
      </c>
      <c r="G2186">
        <f>H2185+E2186</f>
        <v/>
      </c>
      <c r="H2186">
        <f>G2186-MIN(F2186,G2186)</f>
        <v/>
      </c>
      <c r="I2186">
        <f>MIN(F2186-MIN(F2186,G2186),D2186)</f>
        <v/>
      </c>
      <c r="J2186">
        <f>D2186-I2186</f>
        <v/>
      </c>
      <c r="K2186">
        <f>F2186-MIN(F2186,G2186)-I2186</f>
        <v/>
      </c>
    </row>
    <row r="2187">
      <c r="A2187" s="21">
        <f>IF(Rechner!$E$4&lt;&gt;"ok","",IF(Rechner!$E$5+2185&lt;=Rechner!$B$6,Rechner!$E$5+2185,""))</f>
        <v/>
      </c>
      <c r="B2187">
        <f>IF(A2187="","",LOOKUP(A2187,Basiszins!$A$5:$A$18,Basiszins!$B$5:$B$18))</f>
        <v/>
      </c>
      <c r="C2187">
        <f>IF(A2187="","",B2187+Rechner!$E$7)</f>
        <v/>
      </c>
      <c r="D2187">
        <f>J2186</f>
        <v/>
      </c>
      <c r="E2187">
        <f>IF(A2187="",0,D2187*C2187/100/(DATE(YEAR(A2187)+1,1,1)-DATE(YEAR(A2187),1,1)))</f>
        <v/>
      </c>
      <c r="F2187">
        <f>IF(A2187="",0,SUMIF(Rechner!$A$12:$A$21,A2187,Rechner!$B$12:$B$21))</f>
        <v/>
      </c>
      <c r="G2187">
        <f>H2186+E2187</f>
        <v/>
      </c>
      <c r="H2187">
        <f>G2187-MIN(F2187,G2187)</f>
        <v/>
      </c>
      <c r="I2187">
        <f>MIN(F2187-MIN(F2187,G2187),D2187)</f>
        <v/>
      </c>
      <c r="J2187">
        <f>D2187-I2187</f>
        <v/>
      </c>
      <c r="K2187">
        <f>F2187-MIN(F2187,G2187)-I2187</f>
        <v/>
      </c>
    </row>
    <row r="2188">
      <c r="A2188" s="21">
        <f>IF(Rechner!$E$4&lt;&gt;"ok","",IF(Rechner!$E$5+2186&lt;=Rechner!$B$6,Rechner!$E$5+2186,""))</f>
        <v/>
      </c>
      <c r="B2188">
        <f>IF(A2188="","",LOOKUP(A2188,Basiszins!$A$5:$A$18,Basiszins!$B$5:$B$18))</f>
        <v/>
      </c>
      <c r="C2188">
        <f>IF(A2188="","",B2188+Rechner!$E$7)</f>
        <v/>
      </c>
      <c r="D2188">
        <f>J2187</f>
        <v/>
      </c>
      <c r="E2188">
        <f>IF(A2188="",0,D2188*C2188/100/(DATE(YEAR(A2188)+1,1,1)-DATE(YEAR(A2188),1,1)))</f>
        <v/>
      </c>
      <c r="F2188">
        <f>IF(A2188="",0,SUMIF(Rechner!$A$12:$A$21,A2188,Rechner!$B$12:$B$21))</f>
        <v/>
      </c>
      <c r="G2188">
        <f>H2187+E2188</f>
        <v/>
      </c>
      <c r="H2188">
        <f>G2188-MIN(F2188,G2188)</f>
        <v/>
      </c>
      <c r="I2188">
        <f>MIN(F2188-MIN(F2188,G2188),D2188)</f>
        <v/>
      </c>
      <c r="J2188">
        <f>D2188-I2188</f>
        <v/>
      </c>
      <c r="K2188">
        <f>F2188-MIN(F2188,G2188)-I2188</f>
        <v/>
      </c>
    </row>
    <row r="2189">
      <c r="A2189" s="21">
        <f>IF(Rechner!$E$4&lt;&gt;"ok","",IF(Rechner!$E$5+2187&lt;=Rechner!$B$6,Rechner!$E$5+2187,""))</f>
        <v/>
      </c>
      <c r="B2189">
        <f>IF(A2189="","",LOOKUP(A2189,Basiszins!$A$5:$A$18,Basiszins!$B$5:$B$18))</f>
        <v/>
      </c>
      <c r="C2189">
        <f>IF(A2189="","",B2189+Rechner!$E$7)</f>
        <v/>
      </c>
      <c r="D2189">
        <f>J2188</f>
        <v/>
      </c>
      <c r="E2189">
        <f>IF(A2189="",0,D2189*C2189/100/(DATE(YEAR(A2189)+1,1,1)-DATE(YEAR(A2189),1,1)))</f>
        <v/>
      </c>
      <c r="F2189">
        <f>IF(A2189="",0,SUMIF(Rechner!$A$12:$A$21,A2189,Rechner!$B$12:$B$21))</f>
        <v/>
      </c>
      <c r="G2189">
        <f>H2188+E2189</f>
        <v/>
      </c>
      <c r="H2189">
        <f>G2189-MIN(F2189,G2189)</f>
        <v/>
      </c>
      <c r="I2189">
        <f>MIN(F2189-MIN(F2189,G2189),D2189)</f>
        <v/>
      </c>
      <c r="J2189">
        <f>D2189-I2189</f>
        <v/>
      </c>
      <c r="K2189">
        <f>F2189-MIN(F2189,G2189)-I2189</f>
        <v/>
      </c>
    </row>
    <row r="2190">
      <c r="A2190" s="21">
        <f>IF(Rechner!$E$4&lt;&gt;"ok","",IF(Rechner!$E$5+2188&lt;=Rechner!$B$6,Rechner!$E$5+2188,""))</f>
        <v/>
      </c>
      <c r="B2190">
        <f>IF(A2190="","",LOOKUP(A2190,Basiszins!$A$5:$A$18,Basiszins!$B$5:$B$18))</f>
        <v/>
      </c>
      <c r="C2190">
        <f>IF(A2190="","",B2190+Rechner!$E$7)</f>
        <v/>
      </c>
      <c r="D2190">
        <f>J2189</f>
        <v/>
      </c>
      <c r="E2190">
        <f>IF(A2190="",0,D2190*C2190/100/(DATE(YEAR(A2190)+1,1,1)-DATE(YEAR(A2190),1,1)))</f>
        <v/>
      </c>
      <c r="F2190">
        <f>IF(A2190="",0,SUMIF(Rechner!$A$12:$A$21,A2190,Rechner!$B$12:$B$21))</f>
        <v/>
      </c>
      <c r="G2190">
        <f>H2189+E2190</f>
        <v/>
      </c>
      <c r="H2190">
        <f>G2190-MIN(F2190,G2190)</f>
        <v/>
      </c>
      <c r="I2190">
        <f>MIN(F2190-MIN(F2190,G2190),D2190)</f>
        <v/>
      </c>
      <c r="J2190">
        <f>D2190-I2190</f>
        <v/>
      </c>
      <c r="K2190">
        <f>F2190-MIN(F2190,G2190)-I2190</f>
        <v/>
      </c>
    </row>
    <row r="2191">
      <c r="A2191" s="21">
        <f>IF(Rechner!$E$4&lt;&gt;"ok","",IF(Rechner!$E$5+2189&lt;=Rechner!$B$6,Rechner!$E$5+2189,""))</f>
        <v/>
      </c>
      <c r="B2191">
        <f>IF(A2191="","",LOOKUP(A2191,Basiszins!$A$5:$A$18,Basiszins!$B$5:$B$18))</f>
        <v/>
      </c>
      <c r="C2191">
        <f>IF(A2191="","",B2191+Rechner!$E$7)</f>
        <v/>
      </c>
      <c r="D2191">
        <f>J2190</f>
        <v/>
      </c>
      <c r="E2191">
        <f>IF(A2191="",0,D2191*C2191/100/(DATE(YEAR(A2191)+1,1,1)-DATE(YEAR(A2191),1,1)))</f>
        <v/>
      </c>
      <c r="F2191">
        <f>IF(A2191="",0,SUMIF(Rechner!$A$12:$A$21,A2191,Rechner!$B$12:$B$21))</f>
        <v/>
      </c>
      <c r="G2191">
        <f>H2190+E2191</f>
        <v/>
      </c>
      <c r="H2191">
        <f>G2191-MIN(F2191,G2191)</f>
        <v/>
      </c>
      <c r="I2191">
        <f>MIN(F2191-MIN(F2191,G2191),D2191)</f>
        <v/>
      </c>
      <c r="J2191">
        <f>D2191-I2191</f>
        <v/>
      </c>
      <c r="K2191">
        <f>F2191-MIN(F2191,G2191)-I2191</f>
        <v/>
      </c>
    </row>
    <row r="2192">
      <c r="A2192" s="21">
        <f>IF(Rechner!$E$4&lt;&gt;"ok","",IF(Rechner!$E$5+2190&lt;=Rechner!$B$6,Rechner!$E$5+2190,""))</f>
        <v/>
      </c>
      <c r="B2192">
        <f>IF(A2192="","",LOOKUP(A2192,Basiszins!$A$5:$A$18,Basiszins!$B$5:$B$18))</f>
        <v/>
      </c>
      <c r="C2192">
        <f>IF(A2192="","",B2192+Rechner!$E$7)</f>
        <v/>
      </c>
      <c r="D2192">
        <f>J2191</f>
        <v/>
      </c>
      <c r="E2192">
        <f>IF(A2192="",0,D2192*C2192/100/(DATE(YEAR(A2192)+1,1,1)-DATE(YEAR(A2192),1,1)))</f>
        <v/>
      </c>
      <c r="F2192">
        <f>IF(A2192="",0,SUMIF(Rechner!$A$12:$A$21,A2192,Rechner!$B$12:$B$21))</f>
        <v/>
      </c>
      <c r="G2192">
        <f>H2191+E2192</f>
        <v/>
      </c>
      <c r="H2192">
        <f>G2192-MIN(F2192,G2192)</f>
        <v/>
      </c>
      <c r="I2192">
        <f>MIN(F2192-MIN(F2192,G2192),D2192)</f>
        <v/>
      </c>
      <c r="J2192">
        <f>D2192-I2192</f>
        <v/>
      </c>
      <c r="K2192">
        <f>F2192-MIN(F2192,G2192)-I2192</f>
        <v/>
      </c>
    </row>
    <row r="2193">
      <c r="A2193" s="21">
        <f>IF(Rechner!$E$4&lt;&gt;"ok","",IF(Rechner!$E$5+2191&lt;=Rechner!$B$6,Rechner!$E$5+2191,""))</f>
        <v/>
      </c>
      <c r="B2193">
        <f>IF(A2193="","",LOOKUP(A2193,Basiszins!$A$5:$A$18,Basiszins!$B$5:$B$18))</f>
        <v/>
      </c>
      <c r="C2193">
        <f>IF(A2193="","",B2193+Rechner!$E$7)</f>
        <v/>
      </c>
      <c r="D2193">
        <f>J2192</f>
        <v/>
      </c>
      <c r="E2193">
        <f>IF(A2193="",0,D2193*C2193/100/(DATE(YEAR(A2193)+1,1,1)-DATE(YEAR(A2193),1,1)))</f>
        <v/>
      </c>
      <c r="F2193">
        <f>IF(A2193="",0,SUMIF(Rechner!$A$12:$A$21,A2193,Rechner!$B$12:$B$21))</f>
        <v/>
      </c>
      <c r="G2193">
        <f>H2192+E2193</f>
        <v/>
      </c>
      <c r="H2193">
        <f>G2193-MIN(F2193,G2193)</f>
        <v/>
      </c>
      <c r="I2193">
        <f>MIN(F2193-MIN(F2193,G2193),D2193)</f>
        <v/>
      </c>
      <c r="J2193">
        <f>D2193-I2193</f>
        <v/>
      </c>
      <c r="K2193">
        <f>F2193-MIN(F2193,G2193)-I2193</f>
        <v/>
      </c>
    </row>
    <row r="2194">
      <c r="A2194" s="21">
        <f>IF(Rechner!$E$4&lt;&gt;"ok","",IF(Rechner!$E$5+2192&lt;=Rechner!$B$6,Rechner!$E$5+2192,""))</f>
        <v/>
      </c>
      <c r="B2194">
        <f>IF(A2194="","",LOOKUP(A2194,Basiszins!$A$5:$A$18,Basiszins!$B$5:$B$18))</f>
        <v/>
      </c>
      <c r="C2194">
        <f>IF(A2194="","",B2194+Rechner!$E$7)</f>
        <v/>
      </c>
      <c r="D2194">
        <f>J2193</f>
        <v/>
      </c>
      <c r="E2194">
        <f>IF(A2194="",0,D2194*C2194/100/(DATE(YEAR(A2194)+1,1,1)-DATE(YEAR(A2194),1,1)))</f>
        <v/>
      </c>
      <c r="F2194">
        <f>IF(A2194="",0,SUMIF(Rechner!$A$12:$A$21,A2194,Rechner!$B$12:$B$21))</f>
        <v/>
      </c>
      <c r="G2194">
        <f>H2193+E2194</f>
        <v/>
      </c>
      <c r="H2194">
        <f>G2194-MIN(F2194,G2194)</f>
        <v/>
      </c>
      <c r="I2194">
        <f>MIN(F2194-MIN(F2194,G2194),D2194)</f>
        <v/>
      </c>
      <c r="J2194">
        <f>D2194-I2194</f>
        <v/>
      </c>
      <c r="K2194">
        <f>F2194-MIN(F2194,G2194)-I2194</f>
        <v/>
      </c>
    </row>
    <row r="2195">
      <c r="A2195" s="21">
        <f>IF(Rechner!$E$4&lt;&gt;"ok","",IF(Rechner!$E$5+2193&lt;=Rechner!$B$6,Rechner!$E$5+2193,""))</f>
        <v/>
      </c>
      <c r="B2195">
        <f>IF(A2195="","",LOOKUP(A2195,Basiszins!$A$5:$A$18,Basiszins!$B$5:$B$18))</f>
        <v/>
      </c>
      <c r="C2195">
        <f>IF(A2195="","",B2195+Rechner!$E$7)</f>
        <v/>
      </c>
      <c r="D2195">
        <f>J2194</f>
        <v/>
      </c>
      <c r="E2195">
        <f>IF(A2195="",0,D2195*C2195/100/(DATE(YEAR(A2195)+1,1,1)-DATE(YEAR(A2195),1,1)))</f>
        <v/>
      </c>
      <c r="F2195">
        <f>IF(A2195="",0,SUMIF(Rechner!$A$12:$A$21,A2195,Rechner!$B$12:$B$21))</f>
        <v/>
      </c>
      <c r="G2195">
        <f>H2194+E2195</f>
        <v/>
      </c>
      <c r="H2195">
        <f>G2195-MIN(F2195,G2195)</f>
        <v/>
      </c>
      <c r="I2195">
        <f>MIN(F2195-MIN(F2195,G2195),D2195)</f>
        <v/>
      </c>
      <c r="J2195">
        <f>D2195-I2195</f>
        <v/>
      </c>
      <c r="K2195">
        <f>F2195-MIN(F2195,G2195)-I2195</f>
        <v/>
      </c>
    </row>
    <row r="2196">
      <c r="A2196" s="21">
        <f>IF(Rechner!$E$4&lt;&gt;"ok","",IF(Rechner!$E$5+2194&lt;=Rechner!$B$6,Rechner!$E$5+2194,""))</f>
        <v/>
      </c>
      <c r="B2196">
        <f>IF(A2196="","",LOOKUP(A2196,Basiszins!$A$5:$A$18,Basiszins!$B$5:$B$18))</f>
        <v/>
      </c>
      <c r="C2196">
        <f>IF(A2196="","",B2196+Rechner!$E$7)</f>
        <v/>
      </c>
      <c r="D2196">
        <f>J2195</f>
        <v/>
      </c>
      <c r="E2196">
        <f>IF(A2196="",0,D2196*C2196/100/(DATE(YEAR(A2196)+1,1,1)-DATE(YEAR(A2196),1,1)))</f>
        <v/>
      </c>
      <c r="F2196">
        <f>IF(A2196="",0,SUMIF(Rechner!$A$12:$A$21,A2196,Rechner!$B$12:$B$21))</f>
        <v/>
      </c>
      <c r="G2196">
        <f>H2195+E2196</f>
        <v/>
      </c>
      <c r="H2196">
        <f>G2196-MIN(F2196,G2196)</f>
        <v/>
      </c>
      <c r="I2196">
        <f>MIN(F2196-MIN(F2196,G2196),D2196)</f>
        <v/>
      </c>
      <c r="J2196">
        <f>D2196-I2196</f>
        <v/>
      </c>
      <c r="K2196">
        <f>F2196-MIN(F2196,G2196)-I2196</f>
        <v/>
      </c>
    </row>
    <row r="2197">
      <c r="A2197" s="21">
        <f>IF(Rechner!$E$4&lt;&gt;"ok","",IF(Rechner!$E$5+2195&lt;=Rechner!$B$6,Rechner!$E$5+2195,""))</f>
        <v/>
      </c>
      <c r="B2197">
        <f>IF(A2197="","",LOOKUP(A2197,Basiszins!$A$5:$A$18,Basiszins!$B$5:$B$18))</f>
        <v/>
      </c>
      <c r="C2197">
        <f>IF(A2197="","",B2197+Rechner!$E$7)</f>
        <v/>
      </c>
      <c r="D2197">
        <f>J2196</f>
        <v/>
      </c>
      <c r="E2197">
        <f>IF(A2197="",0,D2197*C2197/100/(DATE(YEAR(A2197)+1,1,1)-DATE(YEAR(A2197),1,1)))</f>
        <v/>
      </c>
      <c r="F2197">
        <f>IF(A2197="",0,SUMIF(Rechner!$A$12:$A$21,A2197,Rechner!$B$12:$B$21))</f>
        <v/>
      </c>
      <c r="G2197">
        <f>H2196+E2197</f>
        <v/>
      </c>
      <c r="H2197">
        <f>G2197-MIN(F2197,G2197)</f>
        <v/>
      </c>
      <c r="I2197">
        <f>MIN(F2197-MIN(F2197,G2197),D2197)</f>
        <v/>
      </c>
      <c r="J2197">
        <f>D2197-I2197</f>
        <v/>
      </c>
      <c r="K2197">
        <f>F2197-MIN(F2197,G2197)-I2197</f>
        <v/>
      </c>
    </row>
    <row r="2198">
      <c r="A2198" s="21">
        <f>IF(Rechner!$E$4&lt;&gt;"ok","",IF(Rechner!$E$5+2196&lt;=Rechner!$B$6,Rechner!$E$5+2196,""))</f>
        <v/>
      </c>
      <c r="B2198">
        <f>IF(A2198="","",LOOKUP(A2198,Basiszins!$A$5:$A$18,Basiszins!$B$5:$B$18))</f>
        <v/>
      </c>
      <c r="C2198">
        <f>IF(A2198="","",B2198+Rechner!$E$7)</f>
        <v/>
      </c>
      <c r="D2198">
        <f>J2197</f>
        <v/>
      </c>
      <c r="E2198">
        <f>IF(A2198="",0,D2198*C2198/100/(DATE(YEAR(A2198)+1,1,1)-DATE(YEAR(A2198),1,1)))</f>
        <v/>
      </c>
      <c r="F2198">
        <f>IF(A2198="",0,SUMIF(Rechner!$A$12:$A$21,A2198,Rechner!$B$12:$B$21))</f>
        <v/>
      </c>
      <c r="G2198">
        <f>H2197+E2198</f>
        <v/>
      </c>
      <c r="H2198">
        <f>G2198-MIN(F2198,G2198)</f>
        <v/>
      </c>
      <c r="I2198">
        <f>MIN(F2198-MIN(F2198,G2198),D2198)</f>
        <v/>
      </c>
      <c r="J2198">
        <f>D2198-I2198</f>
        <v/>
      </c>
      <c r="K2198">
        <f>F2198-MIN(F2198,G2198)-I2198</f>
        <v/>
      </c>
    </row>
    <row r="2199">
      <c r="A2199" s="21">
        <f>IF(Rechner!$E$4&lt;&gt;"ok","",IF(Rechner!$E$5+2197&lt;=Rechner!$B$6,Rechner!$E$5+2197,""))</f>
        <v/>
      </c>
      <c r="B2199">
        <f>IF(A2199="","",LOOKUP(A2199,Basiszins!$A$5:$A$18,Basiszins!$B$5:$B$18))</f>
        <v/>
      </c>
      <c r="C2199">
        <f>IF(A2199="","",B2199+Rechner!$E$7)</f>
        <v/>
      </c>
      <c r="D2199">
        <f>J2198</f>
        <v/>
      </c>
      <c r="E2199">
        <f>IF(A2199="",0,D2199*C2199/100/(DATE(YEAR(A2199)+1,1,1)-DATE(YEAR(A2199),1,1)))</f>
        <v/>
      </c>
      <c r="F2199">
        <f>IF(A2199="",0,SUMIF(Rechner!$A$12:$A$21,A2199,Rechner!$B$12:$B$21))</f>
        <v/>
      </c>
      <c r="G2199">
        <f>H2198+E2199</f>
        <v/>
      </c>
      <c r="H2199">
        <f>G2199-MIN(F2199,G2199)</f>
        <v/>
      </c>
      <c r="I2199">
        <f>MIN(F2199-MIN(F2199,G2199),D2199)</f>
        <v/>
      </c>
      <c r="J2199">
        <f>D2199-I2199</f>
        <v/>
      </c>
      <c r="K2199">
        <f>F2199-MIN(F2199,G2199)-I2199</f>
        <v/>
      </c>
    </row>
    <row r="2200">
      <c r="A2200" s="21">
        <f>IF(Rechner!$E$4&lt;&gt;"ok","",IF(Rechner!$E$5+2198&lt;=Rechner!$B$6,Rechner!$E$5+2198,""))</f>
        <v/>
      </c>
      <c r="B2200">
        <f>IF(A2200="","",LOOKUP(A2200,Basiszins!$A$5:$A$18,Basiszins!$B$5:$B$18))</f>
        <v/>
      </c>
      <c r="C2200">
        <f>IF(A2200="","",B2200+Rechner!$E$7)</f>
        <v/>
      </c>
      <c r="D2200">
        <f>J2199</f>
        <v/>
      </c>
      <c r="E2200">
        <f>IF(A2200="",0,D2200*C2200/100/(DATE(YEAR(A2200)+1,1,1)-DATE(YEAR(A2200),1,1)))</f>
        <v/>
      </c>
      <c r="F2200">
        <f>IF(A2200="",0,SUMIF(Rechner!$A$12:$A$21,A2200,Rechner!$B$12:$B$21))</f>
        <v/>
      </c>
      <c r="G2200">
        <f>H2199+E2200</f>
        <v/>
      </c>
      <c r="H2200">
        <f>G2200-MIN(F2200,G2200)</f>
        <v/>
      </c>
      <c r="I2200">
        <f>MIN(F2200-MIN(F2200,G2200),D2200)</f>
        <v/>
      </c>
      <c r="J2200">
        <f>D2200-I2200</f>
        <v/>
      </c>
      <c r="K2200">
        <f>F2200-MIN(F2200,G2200)-I2200</f>
        <v/>
      </c>
    </row>
    <row r="2201">
      <c r="A2201" s="21">
        <f>IF(Rechner!$E$4&lt;&gt;"ok","",IF(Rechner!$E$5+2199&lt;=Rechner!$B$6,Rechner!$E$5+2199,""))</f>
        <v/>
      </c>
      <c r="B2201">
        <f>IF(A2201="","",LOOKUP(A2201,Basiszins!$A$5:$A$18,Basiszins!$B$5:$B$18))</f>
        <v/>
      </c>
      <c r="C2201">
        <f>IF(A2201="","",B2201+Rechner!$E$7)</f>
        <v/>
      </c>
      <c r="D2201">
        <f>J2200</f>
        <v/>
      </c>
      <c r="E2201">
        <f>IF(A2201="",0,D2201*C2201/100/(DATE(YEAR(A2201)+1,1,1)-DATE(YEAR(A2201),1,1)))</f>
        <v/>
      </c>
      <c r="F2201">
        <f>IF(A2201="",0,SUMIF(Rechner!$A$12:$A$21,A2201,Rechner!$B$12:$B$21))</f>
        <v/>
      </c>
      <c r="G2201">
        <f>H2200+E2201</f>
        <v/>
      </c>
      <c r="H2201">
        <f>G2201-MIN(F2201,G2201)</f>
        <v/>
      </c>
      <c r="I2201">
        <f>MIN(F2201-MIN(F2201,G2201),D2201)</f>
        <v/>
      </c>
      <c r="J2201">
        <f>D2201-I2201</f>
        <v/>
      </c>
      <c r="K2201">
        <f>F2201-MIN(F2201,G2201)-I2201</f>
        <v/>
      </c>
    </row>
    <row r="2202">
      <c r="A2202" s="21">
        <f>IF(Rechner!$E$4&lt;&gt;"ok","",IF(Rechner!$E$5+2200&lt;=Rechner!$B$6,Rechner!$E$5+2200,""))</f>
        <v/>
      </c>
      <c r="B2202">
        <f>IF(A2202="","",LOOKUP(A2202,Basiszins!$A$5:$A$18,Basiszins!$B$5:$B$18))</f>
        <v/>
      </c>
      <c r="C2202">
        <f>IF(A2202="","",B2202+Rechner!$E$7)</f>
        <v/>
      </c>
      <c r="D2202">
        <f>J2201</f>
        <v/>
      </c>
      <c r="E2202">
        <f>IF(A2202="",0,D2202*C2202/100/(DATE(YEAR(A2202)+1,1,1)-DATE(YEAR(A2202),1,1)))</f>
        <v/>
      </c>
      <c r="F2202">
        <f>IF(A2202="",0,SUMIF(Rechner!$A$12:$A$21,A2202,Rechner!$B$12:$B$21))</f>
        <v/>
      </c>
      <c r="G2202">
        <f>H2201+E2202</f>
        <v/>
      </c>
      <c r="H2202">
        <f>G2202-MIN(F2202,G2202)</f>
        <v/>
      </c>
      <c r="I2202">
        <f>MIN(F2202-MIN(F2202,G2202),D2202)</f>
        <v/>
      </c>
      <c r="J2202">
        <f>D2202-I2202</f>
        <v/>
      </c>
      <c r="K2202">
        <f>F2202-MIN(F2202,G2202)-I2202</f>
        <v/>
      </c>
    </row>
    <row r="2203">
      <c r="A2203" s="21">
        <f>IF(Rechner!$E$4&lt;&gt;"ok","",IF(Rechner!$E$5+2201&lt;=Rechner!$B$6,Rechner!$E$5+2201,""))</f>
        <v/>
      </c>
      <c r="B2203">
        <f>IF(A2203="","",LOOKUP(A2203,Basiszins!$A$5:$A$18,Basiszins!$B$5:$B$18))</f>
        <v/>
      </c>
      <c r="C2203">
        <f>IF(A2203="","",B2203+Rechner!$E$7)</f>
        <v/>
      </c>
      <c r="D2203">
        <f>J2202</f>
        <v/>
      </c>
      <c r="E2203">
        <f>IF(A2203="",0,D2203*C2203/100/(DATE(YEAR(A2203)+1,1,1)-DATE(YEAR(A2203),1,1)))</f>
        <v/>
      </c>
      <c r="F2203">
        <f>IF(A2203="",0,SUMIF(Rechner!$A$12:$A$21,A2203,Rechner!$B$12:$B$21))</f>
        <v/>
      </c>
      <c r="G2203">
        <f>H2202+E2203</f>
        <v/>
      </c>
      <c r="H2203">
        <f>G2203-MIN(F2203,G2203)</f>
        <v/>
      </c>
      <c r="I2203">
        <f>MIN(F2203-MIN(F2203,G2203),D2203)</f>
        <v/>
      </c>
      <c r="J2203">
        <f>D2203-I2203</f>
        <v/>
      </c>
      <c r="K2203">
        <f>F2203-MIN(F2203,G2203)-I2203</f>
        <v/>
      </c>
    </row>
    <row r="2204">
      <c r="A2204" s="21">
        <f>IF(Rechner!$E$4&lt;&gt;"ok","",IF(Rechner!$E$5+2202&lt;=Rechner!$B$6,Rechner!$E$5+2202,""))</f>
        <v/>
      </c>
      <c r="B2204">
        <f>IF(A2204="","",LOOKUP(A2204,Basiszins!$A$5:$A$18,Basiszins!$B$5:$B$18))</f>
        <v/>
      </c>
      <c r="C2204">
        <f>IF(A2204="","",B2204+Rechner!$E$7)</f>
        <v/>
      </c>
      <c r="D2204">
        <f>J2203</f>
        <v/>
      </c>
      <c r="E2204">
        <f>IF(A2204="",0,D2204*C2204/100/(DATE(YEAR(A2204)+1,1,1)-DATE(YEAR(A2204),1,1)))</f>
        <v/>
      </c>
      <c r="F2204">
        <f>IF(A2204="",0,SUMIF(Rechner!$A$12:$A$21,A2204,Rechner!$B$12:$B$21))</f>
        <v/>
      </c>
      <c r="G2204">
        <f>H2203+E2204</f>
        <v/>
      </c>
      <c r="H2204">
        <f>G2204-MIN(F2204,G2204)</f>
        <v/>
      </c>
      <c r="I2204">
        <f>MIN(F2204-MIN(F2204,G2204),D2204)</f>
        <v/>
      </c>
      <c r="J2204">
        <f>D2204-I2204</f>
        <v/>
      </c>
      <c r="K2204">
        <f>F2204-MIN(F2204,G2204)-I2204</f>
        <v/>
      </c>
    </row>
    <row r="2205">
      <c r="A2205" s="21">
        <f>IF(Rechner!$E$4&lt;&gt;"ok","",IF(Rechner!$E$5+2203&lt;=Rechner!$B$6,Rechner!$E$5+2203,""))</f>
        <v/>
      </c>
      <c r="B2205">
        <f>IF(A2205="","",LOOKUP(A2205,Basiszins!$A$5:$A$18,Basiszins!$B$5:$B$18))</f>
        <v/>
      </c>
      <c r="C2205">
        <f>IF(A2205="","",B2205+Rechner!$E$7)</f>
        <v/>
      </c>
      <c r="D2205">
        <f>J2204</f>
        <v/>
      </c>
      <c r="E2205">
        <f>IF(A2205="",0,D2205*C2205/100/(DATE(YEAR(A2205)+1,1,1)-DATE(YEAR(A2205),1,1)))</f>
        <v/>
      </c>
      <c r="F2205">
        <f>IF(A2205="",0,SUMIF(Rechner!$A$12:$A$21,A2205,Rechner!$B$12:$B$21))</f>
        <v/>
      </c>
      <c r="G2205">
        <f>H2204+E2205</f>
        <v/>
      </c>
      <c r="H2205">
        <f>G2205-MIN(F2205,G2205)</f>
        <v/>
      </c>
      <c r="I2205">
        <f>MIN(F2205-MIN(F2205,G2205),D2205)</f>
        <v/>
      </c>
      <c r="J2205">
        <f>D2205-I2205</f>
        <v/>
      </c>
      <c r="K2205">
        <f>F2205-MIN(F2205,G2205)-I2205</f>
        <v/>
      </c>
    </row>
    <row r="2206">
      <c r="A2206" s="21">
        <f>IF(Rechner!$E$4&lt;&gt;"ok","",IF(Rechner!$E$5+2204&lt;=Rechner!$B$6,Rechner!$E$5+2204,""))</f>
        <v/>
      </c>
      <c r="B2206">
        <f>IF(A2206="","",LOOKUP(A2206,Basiszins!$A$5:$A$18,Basiszins!$B$5:$B$18))</f>
        <v/>
      </c>
      <c r="C2206">
        <f>IF(A2206="","",B2206+Rechner!$E$7)</f>
        <v/>
      </c>
      <c r="D2206">
        <f>J2205</f>
        <v/>
      </c>
      <c r="E2206">
        <f>IF(A2206="",0,D2206*C2206/100/(DATE(YEAR(A2206)+1,1,1)-DATE(YEAR(A2206),1,1)))</f>
        <v/>
      </c>
      <c r="F2206">
        <f>IF(A2206="",0,SUMIF(Rechner!$A$12:$A$21,A2206,Rechner!$B$12:$B$21))</f>
        <v/>
      </c>
      <c r="G2206">
        <f>H2205+E2206</f>
        <v/>
      </c>
      <c r="H2206">
        <f>G2206-MIN(F2206,G2206)</f>
        <v/>
      </c>
      <c r="I2206">
        <f>MIN(F2206-MIN(F2206,G2206),D2206)</f>
        <v/>
      </c>
      <c r="J2206">
        <f>D2206-I2206</f>
        <v/>
      </c>
      <c r="K2206">
        <f>F2206-MIN(F2206,G2206)-I2206</f>
        <v/>
      </c>
    </row>
    <row r="2207">
      <c r="A2207" s="21">
        <f>IF(Rechner!$E$4&lt;&gt;"ok","",IF(Rechner!$E$5+2205&lt;=Rechner!$B$6,Rechner!$E$5+2205,""))</f>
        <v/>
      </c>
      <c r="B2207">
        <f>IF(A2207="","",LOOKUP(A2207,Basiszins!$A$5:$A$18,Basiszins!$B$5:$B$18))</f>
        <v/>
      </c>
      <c r="C2207">
        <f>IF(A2207="","",B2207+Rechner!$E$7)</f>
        <v/>
      </c>
      <c r="D2207">
        <f>J2206</f>
        <v/>
      </c>
      <c r="E2207">
        <f>IF(A2207="",0,D2207*C2207/100/(DATE(YEAR(A2207)+1,1,1)-DATE(YEAR(A2207),1,1)))</f>
        <v/>
      </c>
      <c r="F2207">
        <f>IF(A2207="",0,SUMIF(Rechner!$A$12:$A$21,A2207,Rechner!$B$12:$B$21))</f>
        <v/>
      </c>
      <c r="G2207">
        <f>H2206+E2207</f>
        <v/>
      </c>
      <c r="H2207">
        <f>G2207-MIN(F2207,G2207)</f>
        <v/>
      </c>
      <c r="I2207">
        <f>MIN(F2207-MIN(F2207,G2207),D2207)</f>
        <v/>
      </c>
      <c r="J2207">
        <f>D2207-I2207</f>
        <v/>
      </c>
      <c r="K2207">
        <f>F2207-MIN(F2207,G2207)-I2207</f>
        <v/>
      </c>
    </row>
    <row r="2208">
      <c r="A2208" s="21">
        <f>IF(Rechner!$E$4&lt;&gt;"ok","",IF(Rechner!$E$5+2206&lt;=Rechner!$B$6,Rechner!$E$5+2206,""))</f>
        <v/>
      </c>
      <c r="B2208">
        <f>IF(A2208="","",LOOKUP(A2208,Basiszins!$A$5:$A$18,Basiszins!$B$5:$B$18))</f>
        <v/>
      </c>
      <c r="C2208">
        <f>IF(A2208="","",B2208+Rechner!$E$7)</f>
        <v/>
      </c>
      <c r="D2208">
        <f>J2207</f>
        <v/>
      </c>
      <c r="E2208">
        <f>IF(A2208="",0,D2208*C2208/100/(DATE(YEAR(A2208)+1,1,1)-DATE(YEAR(A2208),1,1)))</f>
        <v/>
      </c>
      <c r="F2208">
        <f>IF(A2208="",0,SUMIF(Rechner!$A$12:$A$21,A2208,Rechner!$B$12:$B$21))</f>
        <v/>
      </c>
      <c r="G2208">
        <f>H2207+E2208</f>
        <v/>
      </c>
      <c r="H2208">
        <f>G2208-MIN(F2208,G2208)</f>
        <v/>
      </c>
      <c r="I2208">
        <f>MIN(F2208-MIN(F2208,G2208),D2208)</f>
        <v/>
      </c>
      <c r="J2208">
        <f>D2208-I2208</f>
        <v/>
      </c>
      <c r="K2208">
        <f>F2208-MIN(F2208,G2208)-I2208</f>
        <v/>
      </c>
    </row>
    <row r="2209">
      <c r="A2209" s="21">
        <f>IF(Rechner!$E$4&lt;&gt;"ok","",IF(Rechner!$E$5+2207&lt;=Rechner!$B$6,Rechner!$E$5+2207,""))</f>
        <v/>
      </c>
      <c r="B2209">
        <f>IF(A2209="","",LOOKUP(A2209,Basiszins!$A$5:$A$18,Basiszins!$B$5:$B$18))</f>
        <v/>
      </c>
      <c r="C2209">
        <f>IF(A2209="","",B2209+Rechner!$E$7)</f>
        <v/>
      </c>
      <c r="D2209">
        <f>J2208</f>
        <v/>
      </c>
      <c r="E2209">
        <f>IF(A2209="",0,D2209*C2209/100/(DATE(YEAR(A2209)+1,1,1)-DATE(YEAR(A2209),1,1)))</f>
        <v/>
      </c>
      <c r="F2209">
        <f>IF(A2209="",0,SUMIF(Rechner!$A$12:$A$21,A2209,Rechner!$B$12:$B$21))</f>
        <v/>
      </c>
      <c r="G2209">
        <f>H2208+E2209</f>
        <v/>
      </c>
      <c r="H2209">
        <f>G2209-MIN(F2209,G2209)</f>
        <v/>
      </c>
      <c r="I2209">
        <f>MIN(F2209-MIN(F2209,G2209),D2209)</f>
        <v/>
      </c>
      <c r="J2209">
        <f>D2209-I2209</f>
        <v/>
      </c>
      <c r="K2209">
        <f>F2209-MIN(F2209,G2209)-I2209</f>
        <v/>
      </c>
    </row>
    <row r="2210">
      <c r="A2210" s="21">
        <f>IF(Rechner!$E$4&lt;&gt;"ok","",IF(Rechner!$E$5+2208&lt;=Rechner!$B$6,Rechner!$E$5+2208,""))</f>
        <v/>
      </c>
      <c r="B2210">
        <f>IF(A2210="","",LOOKUP(A2210,Basiszins!$A$5:$A$18,Basiszins!$B$5:$B$18))</f>
        <v/>
      </c>
      <c r="C2210">
        <f>IF(A2210="","",B2210+Rechner!$E$7)</f>
        <v/>
      </c>
      <c r="D2210">
        <f>J2209</f>
        <v/>
      </c>
      <c r="E2210">
        <f>IF(A2210="",0,D2210*C2210/100/(DATE(YEAR(A2210)+1,1,1)-DATE(YEAR(A2210),1,1)))</f>
        <v/>
      </c>
      <c r="F2210">
        <f>IF(A2210="",0,SUMIF(Rechner!$A$12:$A$21,A2210,Rechner!$B$12:$B$21))</f>
        <v/>
      </c>
      <c r="G2210">
        <f>H2209+E2210</f>
        <v/>
      </c>
      <c r="H2210">
        <f>G2210-MIN(F2210,G2210)</f>
        <v/>
      </c>
      <c r="I2210">
        <f>MIN(F2210-MIN(F2210,G2210),D2210)</f>
        <v/>
      </c>
      <c r="J2210">
        <f>D2210-I2210</f>
        <v/>
      </c>
      <c r="K2210">
        <f>F2210-MIN(F2210,G2210)-I2210</f>
        <v/>
      </c>
    </row>
    <row r="2211">
      <c r="A2211" s="21">
        <f>IF(Rechner!$E$4&lt;&gt;"ok","",IF(Rechner!$E$5+2209&lt;=Rechner!$B$6,Rechner!$E$5+2209,""))</f>
        <v/>
      </c>
      <c r="B2211">
        <f>IF(A2211="","",LOOKUP(A2211,Basiszins!$A$5:$A$18,Basiszins!$B$5:$B$18))</f>
        <v/>
      </c>
      <c r="C2211">
        <f>IF(A2211="","",B2211+Rechner!$E$7)</f>
        <v/>
      </c>
      <c r="D2211">
        <f>J2210</f>
        <v/>
      </c>
      <c r="E2211">
        <f>IF(A2211="",0,D2211*C2211/100/(DATE(YEAR(A2211)+1,1,1)-DATE(YEAR(A2211),1,1)))</f>
        <v/>
      </c>
      <c r="F2211">
        <f>IF(A2211="",0,SUMIF(Rechner!$A$12:$A$21,A2211,Rechner!$B$12:$B$21))</f>
        <v/>
      </c>
      <c r="G2211">
        <f>H2210+E2211</f>
        <v/>
      </c>
      <c r="H2211">
        <f>G2211-MIN(F2211,G2211)</f>
        <v/>
      </c>
      <c r="I2211">
        <f>MIN(F2211-MIN(F2211,G2211),D2211)</f>
        <v/>
      </c>
      <c r="J2211">
        <f>D2211-I2211</f>
        <v/>
      </c>
      <c r="K2211">
        <f>F2211-MIN(F2211,G2211)-I2211</f>
        <v/>
      </c>
    </row>
    <row r="2212">
      <c r="A2212" s="21">
        <f>IF(Rechner!$E$4&lt;&gt;"ok","",IF(Rechner!$E$5+2210&lt;=Rechner!$B$6,Rechner!$E$5+2210,""))</f>
        <v/>
      </c>
      <c r="B2212">
        <f>IF(A2212="","",LOOKUP(A2212,Basiszins!$A$5:$A$18,Basiszins!$B$5:$B$18))</f>
        <v/>
      </c>
      <c r="C2212">
        <f>IF(A2212="","",B2212+Rechner!$E$7)</f>
        <v/>
      </c>
      <c r="D2212">
        <f>J2211</f>
        <v/>
      </c>
      <c r="E2212">
        <f>IF(A2212="",0,D2212*C2212/100/(DATE(YEAR(A2212)+1,1,1)-DATE(YEAR(A2212),1,1)))</f>
        <v/>
      </c>
      <c r="F2212">
        <f>IF(A2212="",0,SUMIF(Rechner!$A$12:$A$21,A2212,Rechner!$B$12:$B$21))</f>
        <v/>
      </c>
      <c r="G2212">
        <f>H2211+E2212</f>
        <v/>
      </c>
      <c r="H2212">
        <f>G2212-MIN(F2212,G2212)</f>
        <v/>
      </c>
      <c r="I2212">
        <f>MIN(F2212-MIN(F2212,G2212),D2212)</f>
        <v/>
      </c>
      <c r="J2212">
        <f>D2212-I2212</f>
        <v/>
      </c>
      <c r="K2212">
        <f>F2212-MIN(F2212,G2212)-I2212</f>
        <v/>
      </c>
    </row>
    <row r="2213">
      <c r="A2213" s="21">
        <f>IF(Rechner!$E$4&lt;&gt;"ok","",IF(Rechner!$E$5+2211&lt;=Rechner!$B$6,Rechner!$E$5+2211,""))</f>
        <v/>
      </c>
      <c r="B2213">
        <f>IF(A2213="","",LOOKUP(A2213,Basiszins!$A$5:$A$18,Basiszins!$B$5:$B$18))</f>
        <v/>
      </c>
      <c r="C2213">
        <f>IF(A2213="","",B2213+Rechner!$E$7)</f>
        <v/>
      </c>
      <c r="D2213">
        <f>J2212</f>
        <v/>
      </c>
      <c r="E2213">
        <f>IF(A2213="",0,D2213*C2213/100/(DATE(YEAR(A2213)+1,1,1)-DATE(YEAR(A2213),1,1)))</f>
        <v/>
      </c>
      <c r="F2213">
        <f>IF(A2213="",0,SUMIF(Rechner!$A$12:$A$21,A2213,Rechner!$B$12:$B$21))</f>
        <v/>
      </c>
      <c r="G2213">
        <f>H2212+E2213</f>
        <v/>
      </c>
      <c r="H2213">
        <f>G2213-MIN(F2213,G2213)</f>
        <v/>
      </c>
      <c r="I2213">
        <f>MIN(F2213-MIN(F2213,G2213),D2213)</f>
        <v/>
      </c>
      <c r="J2213">
        <f>D2213-I2213</f>
        <v/>
      </c>
      <c r="K2213">
        <f>F2213-MIN(F2213,G2213)-I2213</f>
        <v/>
      </c>
    </row>
    <row r="2214">
      <c r="A2214" s="21">
        <f>IF(Rechner!$E$4&lt;&gt;"ok","",IF(Rechner!$E$5+2212&lt;=Rechner!$B$6,Rechner!$E$5+2212,""))</f>
        <v/>
      </c>
      <c r="B2214">
        <f>IF(A2214="","",LOOKUP(A2214,Basiszins!$A$5:$A$18,Basiszins!$B$5:$B$18))</f>
        <v/>
      </c>
      <c r="C2214">
        <f>IF(A2214="","",B2214+Rechner!$E$7)</f>
        <v/>
      </c>
      <c r="D2214">
        <f>J2213</f>
        <v/>
      </c>
      <c r="E2214">
        <f>IF(A2214="",0,D2214*C2214/100/(DATE(YEAR(A2214)+1,1,1)-DATE(YEAR(A2214),1,1)))</f>
        <v/>
      </c>
      <c r="F2214">
        <f>IF(A2214="",0,SUMIF(Rechner!$A$12:$A$21,A2214,Rechner!$B$12:$B$21))</f>
        <v/>
      </c>
      <c r="G2214">
        <f>H2213+E2214</f>
        <v/>
      </c>
      <c r="H2214">
        <f>G2214-MIN(F2214,G2214)</f>
        <v/>
      </c>
      <c r="I2214">
        <f>MIN(F2214-MIN(F2214,G2214),D2214)</f>
        <v/>
      </c>
      <c r="J2214">
        <f>D2214-I2214</f>
        <v/>
      </c>
      <c r="K2214">
        <f>F2214-MIN(F2214,G2214)-I2214</f>
        <v/>
      </c>
    </row>
    <row r="2215">
      <c r="A2215" s="21">
        <f>IF(Rechner!$E$4&lt;&gt;"ok","",IF(Rechner!$E$5+2213&lt;=Rechner!$B$6,Rechner!$E$5+2213,""))</f>
        <v/>
      </c>
      <c r="B2215">
        <f>IF(A2215="","",LOOKUP(A2215,Basiszins!$A$5:$A$18,Basiszins!$B$5:$B$18))</f>
        <v/>
      </c>
      <c r="C2215">
        <f>IF(A2215="","",B2215+Rechner!$E$7)</f>
        <v/>
      </c>
      <c r="D2215">
        <f>J2214</f>
        <v/>
      </c>
      <c r="E2215">
        <f>IF(A2215="",0,D2215*C2215/100/(DATE(YEAR(A2215)+1,1,1)-DATE(YEAR(A2215),1,1)))</f>
        <v/>
      </c>
      <c r="F2215">
        <f>IF(A2215="",0,SUMIF(Rechner!$A$12:$A$21,A2215,Rechner!$B$12:$B$21))</f>
        <v/>
      </c>
      <c r="G2215">
        <f>H2214+E2215</f>
        <v/>
      </c>
      <c r="H2215">
        <f>G2215-MIN(F2215,G2215)</f>
        <v/>
      </c>
      <c r="I2215">
        <f>MIN(F2215-MIN(F2215,G2215),D2215)</f>
        <v/>
      </c>
      <c r="J2215">
        <f>D2215-I2215</f>
        <v/>
      </c>
      <c r="K2215">
        <f>F2215-MIN(F2215,G2215)-I2215</f>
        <v/>
      </c>
    </row>
    <row r="2216">
      <c r="A2216" s="21">
        <f>IF(Rechner!$E$4&lt;&gt;"ok","",IF(Rechner!$E$5+2214&lt;=Rechner!$B$6,Rechner!$E$5+2214,""))</f>
        <v/>
      </c>
      <c r="B2216">
        <f>IF(A2216="","",LOOKUP(A2216,Basiszins!$A$5:$A$18,Basiszins!$B$5:$B$18))</f>
        <v/>
      </c>
      <c r="C2216">
        <f>IF(A2216="","",B2216+Rechner!$E$7)</f>
        <v/>
      </c>
      <c r="D2216">
        <f>J2215</f>
        <v/>
      </c>
      <c r="E2216">
        <f>IF(A2216="",0,D2216*C2216/100/(DATE(YEAR(A2216)+1,1,1)-DATE(YEAR(A2216),1,1)))</f>
        <v/>
      </c>
      <c r="F2216">
        <f>IF(A2216="",0,SUMIF(Rechner!$A$12:$A$21,A2216,Rechner!$B$12:$B$21))</f>
        <v/>
      </c>
      <c r="G2216">
        <f>H2215+E2216</f>
        <v/>
      </c>
      <c r="H2216">
        <f>G2216-MIN(F2216,G2216)</f>
        <v/>
      </c>
      <c r="I2216">
        <f>MIN(F2216-MIN(F2216,G2216),D2216)</f>
        <v/>
      </c>
      <c r="J2216">
        <f>D2216-I2216</f>
        <v/>
      </c>
      <c r="K2216">
        <f>F2216-MIN(F2216,G2216)-I2216</f>
        <v/>
      </c>
    </row>
    <row r="2217">
      <c r="A2217" s="21">
        <f>IF(Rechner!$E$4&lt;&gt;"ok","",IF(Rechner!$E$5+2215&lt;=Rechner!$B$6,Rechner!$E$5+2215,""))</f>
        <v/>
      </c>
      <c r="B2217">
        <f>IF(A2217="","",LOOKUP(A2217,Basiszins!$A$5:$A$18,Basiszins!$B$5:$B$18))</f>
        <v/>
      </c>
      <c r="C2217">
        <f>IF(A2217="","",B2217+Rechner!$E$7)</f>
        <v/>
      </c>
      <c r="D2217">
        <f>J2216</f>
        <v/>
      </c>
      <c r="E2217">
        <f>IF(A2217="",0,D2217*C2217/100/(DATE(YEAR(A2217)+1,1,1)-DATE(YEAR(A2217),1,1)))</f>
        <v/>
      </c>
      <c r="F2217">
        <f>IF(A2217="",0,SUMIF(Rechner!$A$12:$A$21,A2217,Rechner!$B$12:$B$21))</f>
        <v/>
      </c>
      <c r="G2217">
        <f>H2216+E2217</f>
        <v/>
      </c>
      <c r="H2217">
        <f>G2217-MIN(F2217,G2217)</f>
        <v/>
      </c>
      <c r="I2217">
        <f>MIN(F2217-MIN(F2217,G2217),D2217)</f>
        <v/>
      </c>
      <c r="J2217">
        <f>D2217-I2217</f>
        <v/>
      </c>
      <c r="K2217">
        <f>F2217-MIN(F2217,G2217)-I2217</f>
        <v/>
      </c>
    </row>
    <row r="2218">
      <c r="A2218" s="21">
        <f>IF(Rechner!$E$4&lt;&gt;"ok","",IF(Rechner!$E$5+2216&lt;=Rechner!$B$6,Rechner!$E$5+2216,""))</f>
        <v/>
      </c>
      <c r="B2218">
        <f>IF(A2218="","",LOOKUP(A2218,Basiszins!$A$5:$A$18,Basiszins!$B$5:$B$18))</f>
        <v/>
      </c>
      <c r="C2218">
        <f>IF(A2218="","",B2218+Rechner!$E$7)</f>
        <v/>
      </c>
      <c r="D2218">
        <f>J2217</f>
        <v/>
      </c>
      <c r="E2218">
        <f>IF(A2218="",0,D2218*C2218/100/(DATE(YEAR(A2218)+1,1,1)-DATE(YEAR(A2218),1,1)))</f>
        <v/>
      </c>
      <c r="F2218">
        <f>IF(A2218="",0,SUMIF(Rechner!$A$12:$A$21,A2218,Rechner!$B$12:$B$21))</f>
        <v/>
      </c>
      <c r="G2218">
        <f>H2217+E2218</f>
        <v/>
      </c>
      <c r="H2218">
        <f>G2218-MIN(F2218,G2218)</f>
        <v/>
      </c>
      <c r="I2218">
        <f>MIN(F2218-MIN(F2218,G2218),D2218)</f>
        <v/>
      </c>
      <c r="J2218">
        <f>D2218-I2218</f>
        <v/>
      </c>
      <c r="K2218">
        <f>F2218-MIN(F2218,G2218)-I2218</f>
        <v/>
      </c>
    </row>
    <row r="2219">
      <c r="A2219" s="21">
        <f>IF(Rechner!$E$4&lt;&gt;"ok","",IF(Rechner!$E$5+2217&lt;=Rechner!$B$6,Rechner!$E$5+2217,""))</f>
        <v/>
      </c>
      <c r="B2219">
        <f>IF(A2219="","",LOOKUP(A2219,Basiszins!$A$5:$A$18,Basiszins!$B$5:$B$18))</f>
        <v/>
      </c>
      <c r="C2219">
        <f>IF(A2219="","",B2219+Rechner!$E$7)</f>
        <v/>
      </c>
      <c r="D2219">
        <f>J2218</f>
        <v/>
      </c>
      <c r="E2219">
        <f>IF(A2219="",0,D2219*C2219/100/(DATE(YEAR(A2219)+1,1,1)-DATE(YEAR(A2219),1,1)))</f>
        <v/>
      </c>
      <c r="F2219">
        <f>IF(A2219="",0,SUMIF(Rechner!$A$12:$A$21,A2219,Rechner!$B$12:$B$21))</f>
        <v/>
      </c>
      <c r="G2219">
        <f>H2218+E2219</f>
        <v/>
      </c>
      <c r="H2219">
        <f>G2219-MIN(F2219,G2219)</f>
        <v/>
      </c>
      <c r="I2219">
        <f>MIN(F2219-MIN(F2219,G2219),D2219)</f>
        <v/>
      </c>
      <c r="J2219">
        <f>D2219-I2219</f>
        <v/>
      </c>
      <c r="K2219">
        <f>F2219-MIN(F2219,G2219)-I2219</f>
        <v/>
      </c>
    </row>
    <row r="2220">
      <c r="A2220" s="21">
        <f>IF(Rechner!$E$4&lt;&gt;"ok","",IF(Rechner!$E$5+2218&lt;=Rechner!$B$6,Rechner!$E$5+2218,""))</f>
        <v/>
      </c>
      <c r="B2220">
        <f>IF(A2220="","",LOOKUP(A2220,Basiszins!$A$5:$A$18,Basiszins!$B$5:$B$18))</f>
        <v/>
      </c>
      <c r="C2220">
        <f>IF(A2220="","",B2220+Rechner!$E$7)</f>
        <v/>
      </c>
      <c r="D2220">
        <f>J2219</f>
        <v/>
      </c>
      <c r="E2220">
        <f>IF(A2220="",0,D2220*C2220/100/(DATE(YEAR(A2220)+1,1,1)-DATE(YEAR(A2220),1,1)))</f>
        <v/>
      </c>
      <c r="F2220">
        <f>IF(A2220="",0,SUMIF(Rechner!$A$12:$A$21,A2220,Rechner!$B$12:$B$21))</f>
        <v/>
      </c>
      <c r="G2220">
        <f>H2219+E2220</f>
        <v/>
      </c>
      <c r="H2220">
        <f>G2220-MIN(F2220,G2220)</f>
        <v/>
      </c>
      <c r="I2220">
        <f>MIN(F2220-MIN(F2220,G2220),D2220)</f>
        <v/>
      </c>
      <c r="J2220">
        <f>D2220-I2220</f>
        <v/>
      </c>
      <c r="K2220">
        <f>F2220-MIN(F2220,G2220)-I2220</f>
        <v/>
      </c>
    </row>
    <row r="2221">
      <c r="A2221" s="21">
        <f>IF(Rechner!$E$4&lt;&gt;"ok","",IF(Rechner!$E$5+2219&lt;=Rechner!$B$6,Rechner!$E$5+2219,""))</f>
        <v/>
      </c>
      <c r="B2221">
        <f>IF(A2221="","",LOOKUP(A2221,Basiszins!$A$5:$A$18,Basiszins!$B$5:$B$18))</f>
        <v/>
      </c>
      <c r="C2221">
        <f>IF(A2221="","",B2221+Rechner!$E$7)</f>
        <v/>
      </c>
      <c r="D2221">
        <f>J2220</f>
        <v/>
      </c>
      <c r="E2221">
        <f>IF(A2221="",0,D2221*C2221/100/(DATE(YEAR(A2221)+1,1,1)-DATE(YEAR(A2221),1,1)))</f>
        <v/>
      </c>
      <c r="F2221">
        <f>IF(A2221="",0,SUMIF(Rechner!$A$12:$A$21,A2221,Rechner!$B$12:$B$21))</f>
        <v/>
      </c>
      <c r="G2221">
        <f>H2220+E2221</f>
        <v/>
      </c>
      <c r="H2221">
        <f>G2221-MIN(F2221,G2221)</f>
        <v/>
      </c>
      <c r="I2221">
        <f>MIN(F2221-MIN(F2221,G2221),D2221)</f>
        <v/>
      </c>
      <c r="J2221">
        <f>D2221-I2221</f>
        <v/>
      </c>
      <c r="K2221">
        <f>F2221-MIN(F2221,G2221)-I2221</f>
        <v/>
      </c>
    </row>
    <row r="2222">
      <c r="A2222" s="21">
        <f>IF(Rechner!$E$4&lt;&gt;"ok","",IF(Rechner!$E$5+2220&lt;=Rechner!$B$6,Rechner!$E$5+2220,""))</f>
        <v/>
      </c>
      <c r="B2222">
        <f>IF(A2222="","",LOOKUP(A2222,Basiszins!$A$5:$A$18,Basiszins!$B$5:$B$18))</f>
        <v/>
      </c>
      <c r="C2222">
        <f>IF(A2222="","",B2222+Rechner!$E$7)</f>
        <v/>
      </c>
      <c r="D2222">
        <f>J2221</f>
        <v/>
      </c>
      <c r="E2222">
        <f>IF(A2222="",0,D2222*C2222/100/(DATE(YEAR(A2222)+1,1,1)-DATE(YEAR(A2222),1,1)))</f>
        <v/>
      </c>
      <c r="F2222">
        <f>IF(A2222="",0,SUMIF(Rechner!$A$12:$A$21,A2222,Rechner!$B$12:$B$21))</f>
        <v/>
      </c>
      <c r="G2222">
        <f>H2221+E2222</f>
        <v/>
      </c>
      <c r="H2222">
        <f>G2222-MIN(F2222,G2222)</f>
        <v/>
      </c>
      <c r="I2222">
        <f>MIN(F2222-MIN(F2222,G2222),D2222)</f>
        <v/>
      </c>
      <c r="J2222">
        <f>D2222-I2222</f>
        <v/>
      </c>
      <c r="K2222">
        <f>F2222-MIN(F2222,G2222)-I2222</f>
        <v/>
      </c>
    </row>
    <row r="2223">
      <c r="A2223" s="21">
        <f>IF(Rechner!$E$4&lt;&gt;"ok","",IF(Rechner!$E$5+2221&lt;=Rechner!$B$6,Rechner!$E$5+2221,""))</f>
        <v/>
      </c>
      <c r="B2223">
        <f>IF(A2223="","",LOOKUP(A2223,Basiszins!$A$5:$A$18,Basiszins!$B$5:$B$18))</f>
        <v/>
      </c>
      <c r="C2223">
        <f>IF(A2223="","",B2223+Rechner!$E$7)</f>
        <v/>
      </c>
      <c r="D2223">
        <f>J2222</f>
        <v/>
      </c>
      <c r="E2223">
        <f>IF(A2223="",0,D2223*C2223/100/(DATE(YEAR(A2223)+1,1,1)-DATE(YEAR(A2223),1,1)))</f>
        <v/>
      </c>
      <c r="F2223">
        <f>IF(A2223="",0,SUMIF(Rechner!$A$12:$A$21,A2223,Rechner!$B$12:$B$21))</f>
        <v/>
      </c>
      <c r="G2223">
        <f>H2222+E2223</f>
        <v/>
      </c>
      <c r="H2223">
        <f>G2223-MIN(F2223,G2223)</f>
        <v/>
      </c>
      <c r="I2223">
        <f>MIN(F2223-MIN(F2223,G2223),D2223)</f>
        <v/>
      </c>
      <c r="J2223">
        <f>D2223-I2223</f>
        <v/>
      </c>
      <c r="K2223">
        <f>F2223-MIN(F2223,G2223)-I2223</f>
        <v/>
      </c>
    </row>
    <row r="2224">
      <c r="A2224" s="21">
        <f>IF(Rechner!$E$4&lt;&gt;"ok","",IF(Rechner!$E$5+2222&lt;=Rechner!$B$6,Rechner!$E$5+2222,""))</f>
        <v/>
      </c>
      <c r="B2224">
        <f>IF(A2224="","",LOOKUP(A2224,Basiszins!$A$5:$A$18,Basiszins!$B$5:$B$18))</f>
        <v/>
      </c>
      <c r="C2224">
        <f>IF(A2224="","",B2224+Rechner!$E$7)</f>
        <v/>
      </c>
      <c r="D2224">
        <f>J2223</f>
        <v/>
      </c>
      <c r="E2224">
        <f>IF(A2224="",0,D2224*C2224/100/(DATE(YEAR(A2224)+1,1,1)-DATE(YEAR(A2224),1,1)))</f>
        <v/>
      </c>
      <c r="F2224">
        <f>IF(A2224="",0,SUMIF(Rechner!$A$12:$A$21,A2224,Rechner!$B$12:$B$21))</f>
        <v/>
      </c>
      <c r="G2224">
        <f>H2223+E2224</f>
        <v/>
      </c>
      <c r="H2224">
        <f>G2224-MIN(F2224,G2224)</f>
        <v/>
      </c>
      <c r="I2224">
        <f>MIN(F2224-MIN(F2224,G2224),D2224)</f>
        <v/>
      </c>
      <c r="J2224">
        <f>D2224-I2224</f>
        <v/>
      </c>
      <c r="K2224">
        <f>F2224-MIN(F2224,G2224)-I2224</f>
        <v/>
      </c>
    </row>
    <row r="2225">
      <c r="A2225" s="21">
        <f>IF(Rechner!$E$4&lt;&gt;"ok","",IF(Rechner!$E$5+2223&lt;=Rechner!$B$6,Rechner!$E$5+2223,""))</f>
        <v/>
      </c>
      <c r="B2225">
        <f>IF(A2225="","",LOOKUP(A2225,Basiszins!$A$5:$A$18,Basiszins!$B$5:$B$18))</f>
        <v/>
      </c>
      <c r="C2225">
        <f>IF(A2225="","",B2225+Rechner!$E$7)</f>
        <v/>
      </c>
      <c r="D2225">
        <f>J2224</f>
        <v/>
      </c>
      <c r="E2225">
        <f>IF(A2225="",0,D2225*C2225/100/(DATE(YEAR(A2225)+1,1,1)-DATE(YEAR(A2225),1,1)))</f>
        <v/>
      </c>
      <c r="F2225">
        <f>IF(A2225="",0,SUMIF(Rechner!$A$12:$A$21,A2225,Rechner!$B$12:$B$21))</f>
        <v/>
      </c>
      <c r="G2225">
        <f>H2224+E2225</f>
        <v/>
      </c>
      <c r="H2225">
        <f>G2225-MIN(F2225,G2225)</f>
        <v/>
      </c>
      <c r="I2225">
        <f>MIN(F2225-MIN(F2225,G2225),D2225)</f>
        <v/>
      </c>
      <c r="J2225">
        <f>D2225-I2225</f>
        <v/>
      </c>
      <c r="K2225">
        <f>F2225-MIN(F2225,G2225)-I2225</f>
        <v/>
      </c>
    </row>
    <row r="2226">
      <c r="A2226" s="21">
        <f>IF(Rechner!$E$4&lt;&gt;"ok","",IF(Rechner!$E$5+2224&lt;=Rechner!$B$6,Rechner!$E$5+2224,""))</f>
        <v/>
      </c>
      <c r="B2226">
        <f>IF(A2226="","",LOOKUP(A2226,Basiszins!$A$5:$A$18,Basiszins!$B$5:$B$18))</f>
        <v/>
      </c>
      <c r="C2226">
        <f>IF(A2226="","",B2226+Rechner!$E$7)</f>
        <v/>
      </c>
      <c r="D2226">
        <f>J2225</f>
        <v/>
      </c>
      <c r="E2226">
        <f>IF(A2226="",0,D2226*C2226/100/(DATE(YEAR(A2226)+1,1,1)-DATE(YEAR(A2226),1,1)))</f>
        <v/>
      </c>
      <c r="F2226">
        <f>IF(A2226="",0,SUMIF(Rechner!$A$12:$A$21,A2226,Rechner!$B$12:$B$21))</f>
        <v/>
      </c>
      <c r="G2226">
        <f>H2225+E2226</f>
        <v/>
      </c>
      <c r="H2226">
        <f>G2226-MIN(F2226,G2226)</f>
        <v/>
      </c>
      <c r="I2226">
        <f>MIN(F2226-MIN(F2226,G2226),D2226)</f>
        <v/>
      </c>
      <c r="J2226">
        <f>D2226-I2226</f>
        <v/>
      </c>
      <c r="K2226">
        <f>F2226-MIN(F2226,G2226)-I2226</f>
        <v/>
      </c>
    </row>
    <row r="2227">
      <c r="A2227" s="21">
        <f>IF(Rechner!$E$4&lt;&gt;"ok","",IF(Rechner!$E$5+2225&lt;=Rechner!$B$6,Rechner!$E$5+2225,""))</f>
        <v/>
      </c>
      <c r="B2227">
        <f>IF(A2227="","",LOOKUP(A2227,Basiszins!$A$5:$A$18,Basiszins!$B$5:$B$18))</f>
        <v/>
      </c>
      <c r="C2227">
        <f>IF(A2227="","",B2227+Rechner!$E$7)</f>
        <v/>
      </c>
      <c r="D2227">
        <f>J2226</f>
        <v/>
      </c>
      <c r="E2227">
        <f>IF(A2227="",0,D2227*C2227/100/(DATE(YEAR(A2227)+1,1,1)-DATE(YEAR(A2227),1,1)))</f>
        <v/>
      </c>
      <c r="F2227">
        <f>IF(A2227="",0,SUMIF(Rechner!$A$12:$A$21,A2227,Rechner!$B$12:$B$21))</f>
        <v/>
      </c>
      <c r="G2227">
        <f>H2226+E2227</f>
        <v/>
      </c>
      <c r="H2227">
        <f>G2227-MIN(F2227,G2227)</f>
        <v/>
      </c>
      <c r="I2227">
        <f>MIN(F2227-MIN(F2227,G2227),D2227)</f>
        <v/>
      </c>
      <c r="J2227">
        <f>D2227-I2227</f>
        <v/>
      </c>
      <c r="K2227">
        <f>F2227-MIN(F2227,G2227)-I2227</f>
        <v/>
      </c>
    </row>
    <row r="2228">
      <c r="A2228" s="21">
        <f>IF(Rechner!$E$4&lt;&gt;"ok","",IF(Rechner!$E$5+2226&lt;=Rechner!$B$6,Rechner!$E$5+2226,""))</f>
        <v/>
      </c>
      <c r="B2228">
        <f>IF(A2228="","",LOOKUP(A2228,Basiszins!$A$5:$A$18,Basiszins!$B$5:$B$18))</f>
        <v/>
      </c>
      <c r="C2228">
        <f>IF(A2228="","",B2228+Rechner!$E$7)</f>
        <v/>
      </c>
      <c r="D2228">
        <f>J2227</f>
        <v/>
      </c>
      <c r="E2228">
        <f>IF(A2228="",0,D2228*C2228/100/(DATE(YEAR(A2228)+1,1,1)-DATE(YEAR(A2228),1,1)))</f>
        <v/>
      </c>
      <c r="F2228">
        <f>IF(A2228="",0,SUMIF(Rechner!$A$12:$A$21,A2228,Rechner!$B$12:$B$21))</f>
        <v/>
      </c>
      <c r="G2228">
        <f>H2227+E2228</f>
        <v/>
      </c>
      <c r="H2228">
        <f>G2228-MIN(F2228,G2228)</f>
        <v/>
      </c>
      <c r="I2228">
        <f>MIN(F2228-MIN(F2228,G2228),D2228)</f>
        <v/>
      </c>
      <c r="J2228">
        <f>D2228-I2228</f>
        <v/>
      </c>
      <c r="K2228">
        <f>F2228-MIN(F2228,G2228)-I2228</f>
        <v/>
      </c>
    </row>
    <row r="2229">
      <c r="A2229" s="21">
        <f>IF(Rechner!$E$4&lt;&gt;"ok","",IF(Rechner!$E$5+2227&lt;=Rechner!$B$6,Rechner!$E$5+2227,""))</f>
        <v/>
      </c>
      <c r="B2229">
        <f>IF(A2229="","",LOOKUP(A2229,Basiszins!$A$5:$A$18,Basiszins!$B$5:$B$18))</f>
        <v/>
      </c>
      <c r="C2229">
        <f>IF(A2229="","",B2229+Rechner!$E$7)</f>
        <v/>
      </c>
      <c r="D2229">
        <f>J2228</f>
        <v/>
      </c>
      <c r="E2229">
        <f>IF(A2229="",0,D2229*C2229/100/(DATE(YEAR(A2229)+1,1,1)-DATE(YEAR(A2229),1,1)))</f>
        <v/>
      </c>
      <c r="F2229">
        <f>IF(A2229="",0,SUMIF(Rechner!$A$12:$A$21,A2229,Rechner!$B$12:$B$21))</f>
        <v/>
      </c>
      <c r="G2229">
        <f>H2228+E2229</f>
        <v/>
      </c>
      <c r="H2229">
        <f>G2229-MIN(F2229,G2229)</f>
        <v/>
      </c>
      <c r="I2229">
        <f>MIN(F2229-MIN(F2229,G2229),D2229)</f>
        <v/>
      </c>
      <c r="J2229">
        <f>D2229-I2229</f>
        <v/>
      </c>
      <c r="K2229">
        <f>F2229-MIN(F2229,G2229)-I2229</f>
        <v/>
      </c>
    </row>
    <row r="2230">
      <c r="A2230" s="21">
        <f>IF(Rechner!$E$4&lt;&gt;"ok","",IF(Rechner!$E$5+2228&lt;=Rechner!$B$6,Rechner!$E$5+2228,""))</f>
        <v/>
      </c>
      <c r="B2230">
        <f>IF(A2230="","",LOOKUP(A2230,Basiszins!$A$5:$A$18,Basiszins!$B$5:$B$18))</f>
        <v/>
      </c>
      <c r="C2230">
        <f>IF(A2230="","",B2230+Rechner!$E$7)</f>
        <v/>
      </c>
      <c r="D2230">
        <f>J2229</f>
        <v/>
      </c>
      <c r="E2230">
        <f>IF(A2230="",0,D2230*C2230/100/(DATE(YEAR(A2230)+1,1,1)-DATE(YEAR(A2230),1,1)))</f>
        <v/>
      </c>
      <c r="F2230">
        <f>IF(A2230="",0,SUMIF(Rechner!$A$12:$A$21,A2230,Rechner!$B$12:$B$21))</f>
        <v/>
      </c>
      <c r="G2230">
        <f>H2229+E2230</f>
        <v/>
      </c>
      <c r="H2230">
        <f>G2230-MIN(F2230,G2230)</f>
        <v/>
      </c>
      <c r="I2230">
        <f>MIN(F2230-MIN(F2230,G2230),D2230)</f>
        <v/>
      </c>
      <c r="J2230">
        <f>D2230-I2230</f>
        <v/>
      </c>
      <c r="K2230">
        <f>F2230-MIN(F2230,G2230)-I2230</f>
        <v/>
      </c>
    </row>
    <row r="2231">
      <c r="A2231" s="21">
        <f>IF(Rechner!$E$4&lt;&gt;"ok","",IF(Rechner!$E$5+2229&lt;=Rechner!$B$6,Rechner!$E$5+2229,""))</f>
        <v/>
      </c>
      <c r="B2231">
        <f>IF(A2231="","",LOOKUP(A2231,Basiszins!$A$5:$A$18,Basiszins!$B$5:$B$18))</f>
        <v/>
      </c>
      <c r="C2231">
        <f>IF(A2231="","",B2231+Rechner!$E$7)</f>
        <v/>
      </c>
      <c r="D2231">
        <f>J2230</f>
        <v/>
      </c>
      <c r="E2231">
        <f>IF(A2231="",0,D2231*C2231/100/(DATE(YEAR(A2231)+1,1,1)-DATE(YEAR(A2231),1,1)))</f>
        <v/>
      </c>
      <c r="F2231">
        <f>IF(A2231="",0,SUMIF(Rechner!$A$12:$A$21,A2231,Rechner!$B$12:$B$21))</f>
        <v/>
      </c>
      <c r="G2231">
        <f>H2230+E2231</f>
        <v/>
      </c>
      <c r="H2231">
        <f>G2231-MIN(F2231,G2231)</f>
        <v/>
      </c>
      <c r="I2231">
        <f>MIN(F2231-MIN(F2231,G2231),D2231)</f>
        <v/>
      </c>
      <c r="J2231">
        <f>D2231-I2231</f>
        <v/>
      </c>
      <c r="K2231">
        <f>F2231-MIN(F2231,G2231)-I2231</f>
        <v/>
      </c>
    </row>
    <row r="2232">
      <c r="A2232" s="21">
        <f>IF(Rechner!$E$4&lt;&gt;"ok","",IF(Rechner!$E$5+2230&lt;=Rechner!$B$6,Rechner!$E$5+2230,""))</f>
        <v/>
      </c>
      <c r="B2232">
        <f>IF(A2232="","",LOOKUP(A2232,Basiszins!$A$5:$A$18,Basiszins!$B$5:$B$18))</f>
        <v/>
      </c>
      <c r="C2232">
        <f>IF(A2232="","",B2232+Rechner!$E$7)</f>
        <v/>
      </c>
      <c r="D2232">
        <f>J2231</f>
        <v/>
      </c>
      <c r="E2232">
        <f>IF(A2232="",0,D2232*C2232/100/(DATE(YEAR(A2232)+1,1,1)-DATE(YEAR(A2232),1,1)))</f>
        <v/>
      </c>
      <c r="F2232">
        <f>IF(A2232="",0,SUMIF(Rechner!$A$12:$A$21,A2232,Rechner!$B$12:$B$21))</f>
        <v/>
      </c>
      <c r="G2232">
        <f>H2231+E2232</f>
        <v/>
      </c>
      <c r="H2232">
        <f>G2232-MIN(F2232,G2232)</f>
        <v/>
      </c>
      <c r="I2232">
        <f>MIN(F2232-MIN(F2232,G2232),D2232)</f>
        <v/>
      </c>
      <c r="J2232">
        <f>D2232-I2232</f>
        <v/>
      </c>
      <c r="K2232">
        <f>F2232-MIN(F2232,G2232)-I2232</f>
        <v/>
      </c>
    </row>
    <row r="2233">
      <c r="A2233" s="21">
        <f>IF(Rechner!$E$4&lt;&gt;"ok","",IF(Rechner!$E$5+2231&lt;=Rechner!$B$6,Rechner!$E$5+2231,""))</f>
        <v/>
      </c>
      <c r="B2233">
        <f>IF(A2233="","",LOOKUP(A2233,Basiszins!$A$5:$A$18,Basiszins!$B$5:$B$18))</f>
        <v/>
      </c>
      <c r="C2233">
        <f>IF(A2233="","",B2233+Rechner!$E$7)</f>
        <v/>
      </c>
      <c r="D2233">
        <f>J2232</f>
        <v/>
      </c>
      <c r="E2233">
        <f>IF(A2233="",0,D2233*C2233/100/(DATE(YEAR(A2233)+1,1,1)-DATE(YEAR(A2233),1,1)))</f>
        <v/>
      </c>
      <c r="F2233">
        <f>IF(A2233="",0,SUMIF(Rechner!$A$12:$A$21,A2233,Rechner!$B$12:$B$21))</f>
        <v/>
      </c>
      <c r="G2233">
        <f>H2232+E2233</f>
        <v/>
      </c>
      <c r="H2233">
        <f>G2233-MIN(F2233,G2233)</f>
        <v/>
      </c>
      <c r="I2233">
        <f>MIN(F2233-MIN(F2233,G2233),D2233)</f>
        <v/>
      </c>
      <c r="J2233">
        <f>D2233-I2233</f>
        <v/>
      </c>
      <c r="K2233">
        <f>F2233-MIN(F2233,G2233)-I2233</f>
        <v/>
      </c>
    </row>
    <row r="2234">
      <c r="A2234" s="21">
        <f>IF(Rechner!$E$4&lt;&gt;"ok","",IF(Rechner!$E$5+2232&lt;=Rechner!$B$6,Rechner!$E$5+2232,""))</f>
        <v/>
      </c>
      <c r="B2234">
        <f>IF(A2234="","",LOOKUP(A2234,Basiszins!$A$5:$A$18,Basiszins!$B$5:$B$18))</f>
        <v/>
      </c>
      <c r="C2234">
        <f>IF(A2234="","",B2234+Rechner!$E$7)</f>
        <v/>
      </c>
      <c r="D2234">
        <f>J2233</f>
        <v/>
      </c>
      <c r="E2234">
        <f>IF(A2234="",0,D2234*C2234/100/(DATE(YEAR(A2234)+1,1,1)-DATE(YEAR(A2234),1,1)))</f>
        <v/>
      </c>
      <c r="F2234">
        <f>IF(A2234="",0,SUMIF(Rechner!$A$12:$A$21,A2234,Rechner!$B$12:$B$21))</f>
        <v/>
      </c>
      <c r="G2234">
        <f>H2233+E2234</f>
        <v/>
      </c>
      <c r="H2234">
        <f>G2234-MIN(F2234,G2234)</f>
        <v/>
      </c>
      <c r="I2234">
        <f>MIN(F2234-MIN(F2234,G2234),D2234)</f>
        <v/>
      </c>
      <c r="J2234">
        <f>D2234-I2234</f>
        <v/>
      </c>
      <c r="K2234">
        <f>F2234-MIN(F2234,G2234)-I2234</f>
        <v/>
      </c>
    </row>
    <row r="2235">
      <c r="A2235" s="21">
        <f>IF(Rechner!$E$4&lt;&gt;"ok","",IF(Rechner!$E$5+2233&lt;=Rechner!$B$6,Rechner!$E$5+2233,""))</f>
        <v/>
      </c>
      <c r="B2235">
        <f>IF(A2235="","",LOOKUP(A2235,Basiszins!$A$5:$A$18,Basiszins!$B$5:$B$18))</f>
        <v/>
      </c>
      <c r="C2235">
        <f>IF(A2235="","",B2235+Rechner!$E$7)</f>
        <v/>
      </c>
      <c r="D2235">
        <f>J2234</f>
        <v/>
      </c>
      <c r="E2235">
        <f>IF(A2235="",0,D2235*C2235/100/(DATE(YEAR(A2235)+1,1,1)-DATE(YEAR(A2235),1,1)))</f>
        <v/>
      </c>
      <c r="F2235">
        <f>IF(A2235="",0,SUMIF(Rechner!$A$12:$A$21,A2235,Rechner!$B$12:$B$21))</f>
        <v/>
      </c>
      <c r="G2235">
        <f>H2234+E2235</f>
        <v/>
      </c>
      <c r="H2235">
        <f>G2235-MIN(F2235,G2235)</f>
        <v/>
      </c>
      <c r="I2235">
        <f>MIN(F2235-MIN(F2235,G2235),D2235)</f>
        <v/>
      </c>
      <c r="J2235">
        <f>D2235-I2235</f>
        <v/>
      </c>
      <c r="K2235">
        <f>F2235-MIN(F2235,G2235)-I2235</f>
        <v/>
      </c>
    </row>
    <row r="2236">
      <c r="A2236" s="21">
        <f>IF(Rechner!$E$4&lt;&gt;"ok","",IF(Rechner!$E$5+2234&lt;=Rechner!$B$6,Rechner!$E$5+2234,""))</f>
        <v/>
      </c>
      <c r="B2236">
        <f>IF(A2236="","",LOOKUP(A2236,Basiszins!$A$5:$A$18,Basiszins!$B$5:$B$18))</f>
        <v/>
      </c>
      <c r="C2236">
        <f>IF(A2236="","",B2236+Rechner!$E$7)</f>
        <v/>
      </c>
      <c r="D2236">
        <f>J2235</f>
        <v/>
      </c>
      <c r="E2236">
        <f>IF(A2236="",0,D2236*C2236/100/(DATE(YEAR(A2236)+1,1,1)-DATE(YEAR(A2236),1,1)))</f>
        <v/>
      </c>
      <c r="F2236">
        <f>IF(A2236="",0,SUMIF(Rechner!$A$12:$A$21,A2236,Rechner!$B$12:$B$21))</f>
        <v/>
      </c>
      <c r="G2236">
        <f>H2235+E2236</f>
        <v/>
      </c>
      <c r="H2236">
        <f>G2236-MIN(F2236,G2236)</f>
        <v/>
      </c>
      <c r="I2236">
        <f>MIN(F2236-MIN(F2236,G2236),D2236)</f>
        <v/>
      </c>
      <c r="J2236">
        <f>D2236-I2236</f>
        <v/>
      </c>
      <c r="K2236">
        <f>F2236-MIN(F2236,G2236)-I2236</f>
        <v/>
      </c>
    </row>
    <row r="2237">
      <c r="A2237" s="21">
        <f>IF(Rechner!$E$4&lt;&gt;"ok","",IF(Rechner!$E$5+2235&lt;=Rechner!$B$6,Rechner!$E$5+2235,""))</f>
        <v/>
      </c>
      <c r="B2237">
        <f>IF(A2237="","",LOOKUP(A2237,Basiszins!$A$5:$A$18,Basiszins!$B$5:$B$18))</f>
        <v/>
      </c>
      <c r="C2237">
        <f>IF(A2237="","",B2237+Rechner!$E$7)</f>
        <v/>
      </c>
      <c r="D2237">
        <f>J2236</f>
        <v/>
      </c>
      <c r="E2237">
        <f>IF(A2237="",0,D2237*C2237/100/(DATE(YEAR(A2237)+1,1,1)-DATE(YEAR(A2237),1,1)))</f>
        <v/>
      </c>
      <c r="F2237">
        <f>IF(A2237="",0,SUMIF(Rechner!$A$12:$A$21,A2237,Rechner!$B$12:$B$21))</f>
        <v/>
      </c>
      <c r="G2237">
        <f>H2236+E2237</f>
        <v/>
      </c>
      <c r="H2237">
        <f>G2237-MIN(F2237,G2237)</f>
        <v/>
      </c>
      <c r="I2237">
        <f>MIN(F2237-MIN(F2237,G2237),D2237)</f>
        <v/>
      </c>
      <c r="J2237">
        <f>D2237-I2237</f>
        <v/>
      </c>
      <c r="K2237">
        <f>F2237-MIN(F2237,G2237)-I2237</f>
        <v/>
      </c>
    </row>
    <row r="2238">
      <c r="A2238" s="21">
        <f>IF(Rechner!$E$4&lt;&gt;"ok","",IF(Rechner!$E$5+2236&lt;=Rechner!$B$6,Rechner!$E$5+2236,""))</f>
        <v/>
      </c>
      <c r="B2238">
        <f>IF(A2238="","",LOOKUP(A2238,Basiszins!$A$5:$A$18,Basiszins!$B$5:$B$18))</f>
        <v/>
      </c>
      <c r="C2238">
        <f>IF(A2238="","",B2238+Rechner!$E$7)</f>
        <v/>
      </c>
      <c r="D2238">
        <f>J2237</f>
        <v/>
      </c>
      <c r="E2238">
        <f>IF(A2238="",0,D2238*C2238/100/(DATE(YEAR(A2238)+1,1,1)-DATE(YEAR(A2238),1,1)))</f>
        <v/>
      </c>
      <c r="F2238">
        <f>IF(A2238="",0,SUMIF(Rechner!$A$12:$A$21,A2238,Rechner!$B$12:$B$21))</f>
        <v/>
      </c>
      <c r="G2238">
        <f>H2237+E2238</f>
        <v/>
      </c>
      <c r="H2238">
        <f>G2238-MIN(F2238,G2238)</f>
        <v/>
      </c>
      <c r="I2238">
        <f>MIN(F2238-MIN(F2238,G2238),D2238)</f>
        <v/>
      </c>
      <c r="J2238">
        <f>D2238-I2238</f>
        <v/>
      </c>
      <c r="K2238">
        <f>F2238-MIN(F2238,G2238)-I2238</f>
        <v/>
      </c>
    </row>
    <row r="2239">
      <c r="A2239" s="21">
        <f>IF(Rechner!$E$4&lt;&gt;"ok","",IF(Rechner!$E$5+2237&lt;=Rechner!$B$6,Rechner!$E$5+2237,""))</f>
        <v/>
      </c>
      <c r="B2239">
        <f>IF(A2239="","",LOOKUP(A2239,Basiszins!$A$5:$A$18,Basiszins!$B$5:$B$18))</f>
        <v/>
      </c>
      <c r="C2239">
        <f>IF(A2239="","",B2239+Rechner!$E$7)</f>
        <v/>
      </c>
      <c r="D2239">
        <f>J2238</f>
        <v/>
      </c>
      <c r="E2239">
        <f>IF(A2239="",0,D2239*C2239/100/(DATE(YEAR(A2239)+1,1,1)-DATE(YEAR(A2239),1,1)))</f>
        <v/>
      </c>
      <c r="F2239">
        <f>IF(A2239="",0,SUMIF(Rechner!$A$12:$A$21,A2239,Rechner!$B$12:$B$21))</f>
        <v/>
      </c>
      <c r="G2239">
        <f>H2238+E2239</f>
        <v/>
      </c>
      <c r="H2239">
        <f>G2239-MIN(F2239,G2239)</f>
        <v/>
      </c>
      <c r="I2239">
        <f>MIN(F2239-MIN(F2239,G2239),D2239)</f>
        <v/>
      </c>
      <c r="J2239">
        <f>D2239-I2239</f>
        <v/>
      </c>
      <c r="K2239">
        <f>F2239-MIN(F2239,G2239)-I2239</f>
        <v/>
      </c>
    </row>
    <row r="2240">
      <c r="A2240" s="21">
        <f>IF(Rechner!$E$4&lt;&gt;"ok","",IF(Rechner!$E$5+2238&lt;=Rechner!$B$6,Rechner!$E$5+2238,""))</f>
        <v/>
      </c>
      <c r="B2240">
        <f>IF(A2240="","",LOOKUP(A2240,Basiszins!$A$5:$A$18,Basiszins!$B$5:$B$18))</f>
        <v/>
      </c>
      <c r="C2240">
        <f>IF(A2240="","",B2240+Rechner!$E$7)</f>
        <v/>
      </c>
      <c r="D2240">
        <f>J2239</f>
        <v/>
      </c>
      <c r="E2240">
        <f>IF(A2240="",0,D2240*C2240/100/(DATE(YEAR(A2240)+1,1,1)-DATE(YEAR(A2240),1,1)))</f>
        <v/>
      </c>
      <c r="F2240">
        <f>IF(A2240="",0,SUMIF(Rechner!$A$12:$A$21,A2240,Rechner!$B$12:$B$21))</f>
        <v/>
      </c>
      <c r="G2240">
        <f>H2239+E2240</f>
        <v/>
      </c>
      <c r="H2240">
        <f>G2240-MIN(F2240,G2240)</f>
        <v/>
      </c>
      <c r="I2240">
        <f>MIN(F2240-MIN(F2240,G2240),D2240)</f>
        <v/>
      </c>
      <c r="J2240">
        <f>D2240-I2240</f>
        <v/>
      </c>
      <c r="K2240">
        <f>F2240-MIN(F2240,G2240)-I2240</f>
        <v/>
      </c>
    </row>
    <row r="2241">
      <c r="A2241" s="21">
        <f>IF(Rechner!$E$4&lt;&gt;"ok","",IF(Rechner!$E$5+2239&lt;=Rechner!$B$6,Rechner!$E$5+2239,""))</f>
        <v/>
      </c>
      <c r="B2241">
        <f>IF(A2241="","",LOOKUP(A2241,Basiszins!$A$5:$A$18,Basiszins!$B$5:$B$18))</f>
        <v/>
      </c>
      <c r="C2241">
        <f>IF(A2241="","",B2241+Rechner!$E$7)</f>
        <v/>
      </c>
      <c r="D2241">
        <f>J2240</f>
        <v/>
      </c>
      <c r="E2241">
        <f>IF(A2241="",0,D2241*C2241/100/(DATE(YEAR(A2241)+1,1,1)-DATE(YEAR(A2241),1,1)))</f>
        <v/>
      </c>
      <c r="F2241">
        <f>IF(A2241="",0,SUMIF(Rechner!$A$12:$A$21,A2241,Rechner!$B$12:$B$21))</f>
        <v/>
      </c>
      <c r="G2241">
        <f>H2240+E2241</f>
        <v/>
      </c>
      <c r="H2241">
        <f>G2241-MIN(F2241,G2241)</f>
        <v/>
      </c>
      <c r="I2241">
        <f>MIN(F2241-MIN(F2241,G2241),D2241)</f>
        <v/>
      </c>
      <c r="J2241">
        <f>D2241-I2241</f>
        <v/>
      </c>
      <c r="K2241">
        <f>F2241-MIN(F2241,G2241)-I2241</f>
        <v/>
      </c>
    </row>
    <row r="2242">
      <c r="A2242" s="21">
        <f>IF(Rechner!$E$4&lt;&gt;"ok","",IF(Rechner!$E$5+2240&lt;=Rechner!$B$6,Rechner!$E$5+2240,""))</f>
        <v/>
      </c>
      <c r="B2242">
        <f>IF(A2242="","",LOOKUP(A2242,Basiszins!$A$5:$A$18,Basiszins!$B$5:$B$18))</f>
        <v/>
      </c>
      <c r="C2242">
        <f>IF(A2242="","",B2242+Rechner!$E$7)</f>
        <v/>
      </c>
      <c r="D2242">
        <f>J2241</f>
        <v/>
      </c>
      <c r="E2242">
        <f>IF(A2242="",0,D2242*C2242/100/(DATE(YEAR(A2242)+1,1,1)-DATE(YEAR(A2242),1,1)))</f>
        <v/>
      </c>
      <c r="F2242">
        <f>IF(A2242="",0,SUMIF(Rechner!$A$12:$A$21,A2242,Rechner!$B$12:$B$21))</f>
        <v/>
      </c>
      <c r="G2242">
        <f>H2241+E2242</f>
        <v/>
      </c>
      <c r="H2242">
        <f>G2242-MIN(F2242,G2242)</f>
        <v/>
      </c>
      <c r="I2242">
        <f>MIN(F2242-MIN(F2242,G2242),D2242)</f>
        <v/>
      </c>
      <c r="J2242">
        <f>D2242-I2242</f>
        <v/>
      </c>
      <c r="K2242">
        <f>F2242-MIN(F2242,G2242)-I2242</f>
        <v/>
      </c>
    </row>
    <row r="2243">
      <c r="A2243" s="21">
        <f>IF(Rechner!$E$4&lt;&gt;"ok","",IF(Rechner!$E$5+2241&lt;=Rechner!$B$6,Rechner!$E$5+2241,""))</f>
        <v/>
      </c>
      <c r="B2243">
        <f>IF(A2243="","",LOOKUP(A2243,Basiszins!$A$5:$A$18,Basiszins!$B$5:$B$18))</f>
        <v/>
      </c>
      <c r="C2243">
        <f>IF(A2243="","",B2243+Rechner!$E$7)</f>
        <v/>
      </c>
      <c r="D2243">
        <f>J2242</f>
        <v/>
      </c>
      <c r="E2243">
        <f>IF(A2243="",0,D2243*C2243/100/(DATE(YEAR(A2243)+1,1,1)-DATE(YEAR(A2243),1,1)))</f>
        <v/>
      </c>
      <c r="F2243">
        <f>IF(A2243="",0,SUMIF(Rechner!$A$12:$A$21,A2243,Rechner!$B$12:$B$21))</f>
        <v/>
      </c>
      <c r="G2243">
        <f>H2242+E2243</f>
        <v/>
      </c>
      <c r="H2243">
        <f>G2243-MIN(F2243,G2243)</f>
        <v/>
      </c>
      <c r="I2243">
        <f>MIN(F2243-MIN(F2243,G2243),D2243)</f>
        <v/>
      </c>
      <c r="J2243">
        <f>D2243-I2243</f>
        <v/>
      </c>
      <c r="K2243">
        <f>F2243-MIN(F2243,G2243)-I2243</f>
        <v/>
      </c>
    </row>
    <row r="2244">
      <c r="A2244" s="21">
        <f>IF(Rechner!$E$4&lt;&gt;"ok","",IF(Rechner!$E$5+2242&lt;=Rechner!$B$6,Rechner!$E$5+2242,""))</f>
        <v/>
      </c>
      <c r="B2244">
        <f>IF(A2244="","",LOOKUP(A2244,Basiszins!$A$5:$A$18,Basiszins!$B$5:$B$18))</f>
        <v/>
      </c>
      <c r="C2244">
        <f>IF(A2244="","",B2244+Rechner!$E$7)</f>
        <v/>
      </c>
      <c r="D2244">
        <f>J2243</f>
        <v/>
      </c>
      <c r="E2244">
        <f>IF(A2244="",0,D2244*C2244/100/(DATE(YEAR(A2244)+1,1,1)-DATE(YEAR(A2244),1,1)))</f>
        <v/>
      </c>
      <c r="F2244">
        <f>IF(A2244="",0,SUMIF(Rechner!$A$12:$A$21,A2244,Rechner!$B$12:$B$21))</f>
        <v/>
      </c>
      <c r="G2244">
        <f>H2243+E2244</f>
        <v/>
      </c>
      <c r="H2244">
        <f>G2244-MIN(F2244,G2244)</f>
        <v/>
      </c>
      <c r="I2244">
        <f>MIN(F2244-MIN(F2244,G2244),D2244)</f>
        <v/>
      </c>
      <c r="J2244">
        <f>D2244-I2244</f>
        <v/>
      </c>
      <c r="K2244">
        <f>F2244-MIN(F2244,G2244)-I2244</f>
        <v/>
      </c>
    </row>
    <row r="2245">
      <c r="A2245" s="21">
        <f>IF(Rechner!$E$4&lt;&gt;"ok","",IF(Rechner!$E$5+2243&lt;=Rechner!$B$6,Rechner!$E$5+2243,""))</f>
        <v/>
      </c>
      <c r="B2245">
        <f>IF(A2245="","",LOOKUP(A2245,Basiszins!$A$5:$A$18,Basiszins!$B$5:$B$18))</f>
        <v/>
      </c>
      <c r="C2245">
        <f>IF(A2245="","",B2245+Rechner!$E$7)</f>
        <v/>
      </c>
      <c r="D2245">
        <f>J2244</f>
        <v/>
      </c>
      <c r="E2245">
        <f>IF(A2245="",0,D2245*C2245/100/(DATE(YEAR(A2245)+1,1,1)-DATE(YEAR(A2245),1,1)))</f>
        <v/>
      </c>
      <c r="F2245">
        <f>IF(A2245="",0,SUMIF(Rechner!$A$12:$A$21,A2245,Rechner!$B$12:$B$21))</f>
        <v/>
      </c>
      <c r="G2245">
        <f>H2244+E2245</f>
        <v/>
      </c>
      <c r="H2245">
        <f>G2245-MIN(F2245,G2245)</f>
        <v/>
      </c>
      <c r="I2245">
        <f>MIN(F2245-MIN(F2245,G2245),D2245)</f>
        <v/>
      </c>
      <c r="J2245">
        <f>D2245-I2245</f>
        <v/>
      </c>
      <c r="K2245">
        <f>F2245-MIN(F2245,G2245)-I2245</f>
        <v/>
      </c>
    </row>
    <row r="2246">
      <c r="A2246" s="21">
        <f>IF(Rechner!$E$4&lt;&gt;"ok","",IF(Rechner!$E$5+2244&lt;=Rechner!$B$6,Rechner!$E$5+2244,""))</f>
        <v/>
      </c>
      <c r="B2246">
        <f>IF(A2246="","",LOOKUP(A2246,Basiszins!$A$5:$A$18,Basiszins!$B$5:$B$18))</f>
        <v/>
      </c>
      <c r="C2246">
        <f>IF(A2246="","",B2246+Rechner!$E$7)</f>
        <v/>
      </c>
      <c r="D2246">
        <f>J2245</f>
        <v/>
      </c>
      <c r="E2246">
        <f>IF(A2246="",0,D2246*C2246/100/(DATE(YEAR(A2246)+1,1,1)-DATE(YEAR(A2246),1,1)))</f>
        <v/>
      </c>
      <c r="F2246">
        <f>IF(A2246="",0,SUMIF(Rechner!$A$12:$A$21,A2246,Rechner!$B$12:$B$21))</f>
        <v/>
      </c>
      <c r="G2246">
        <f>H2245+E2246</f>
        <v/>
      </c>
      <c r="H2246">
        <f>G2246-MIN(F2246,G2246)</f>
        <v/>
      </c>
      <c r="I2246">
        <f>MIN(F2246-MIN(F2246,G2246),D2246)</f>
        <v/>
      </c>
      <c r="J2246">
        <f>D2246-I2246</f>
        <v/>
      </c>
      <c r="K2246">
        <f>F2246-MIN(F2246,G2246)-I2246</f>
        <v/>
      </c>
    </row>
    <row r="2247">
      <c r="A2247" s="21">
        <f>IF(Rechner!$E$4&lt;&gt;"ok","",IF(Rechner!$E$5+2245&lt;=Rechner!$B$6,Rechner!$E$5+2245,""))</f>
        <v/>
      </c>
      <c r="B2247">
        <f>IF(A2247="","",LOOKUP(A2247,Basiszins!$A$5:$A$18,Basiszins!$B$5:$B$18))</f>
        <v/>
      </c>
      <c r="C2247">
        <f>IF(A2247="","",B2247+Rechner!$E$7)</f>
        <v/>
      </c>
      <c r="D2247">
        <f>J2246</f>
        <v/>
      </c>
      <c r="E2247">
        <f>IF(A2247="",0,D2247*C2247/100/(DATE(YEAR(A2247)+1,1,1)-DATE(YEAR(A2247),1,1)))</f>
        <v/>
      </c>
      <c r="F2247">
        <f>IF(A2247="",0,SUMIF(Rechner!$A$12:$A$21,A2247,Rechner!$B$12:$B$21))</f>
        <v/>
      </c>
      <c r="G2247">
        <f>H2246+E2247</f>
        <v/>
      </c>
      <c r="H2247">
        <f>G2247-MIN(F2247,G2247)</f>
        <v/>
      </c>
      <c r="I2247">
        <f>MIN(F2247-MIN(F2247,G2247),D2247)</f>
        <v/>
      </c>
      <c r="J2247">
        <f>D2247-I2247</f>
        <v/>
      </c>
      <c r="K2247">
        <f>F2247-MIN(F2247,G2247)-I2247</f>
        <v/>
      </c>
    </row>
    <row r="2248">
      <c r="A2248" s="21">
        <f>IF(Rechner!$E$4&lt;&gt;"ok","",IF(Rechner!$E$5+2246&lt;=Rechner!$B$6,Rechner!$E$5+2246,""))</f>
        <v/>
      </c>
      <c r="B2248">
        <f>IF(A2248="","",LOOKUP(A2248,Basiszins!$A$5:$A$18,Basiszins!$B$5:$B$18))</f>
        <v/>
      </c>
      <c r="C2248">
        <f>IF(A2248="","",B2248+Rechner!$E$7)</f>
        <v/>
      </c>
      <c r="D2248">
        <f>J2247</f>
        <v/>
      </c>
      <c r="E2248">
        <f>IF(A2248="",0,D2248*C2248/100/(DATE(YEAR(A2248)+1,1,1)-DATE(YEAR(A2248),1,1)))</f>
        <v/>
      </c>
      <c r="F2248">
        <f>IF(A2248="",0,SUMIF(Rechner!$A$12:$A$21,A2248,Rechner!$B$12:$B$21))</f>
        <v/>
      </c>
      <c r="G2248">
        <f>H2247+E2248</f>
        <v/>
      </c>
      <c r="H2248">
        <f>G2248-MIN(F2248,G2248)</f>
        <v/>
      </c>
      <c r="I2248">
        <f>MIN(F2248-MIN(F2248,G2248),D2248)</f>
        <v/>
      </c>
      <c r="J2248">
        <f>D2248-I2248</f>
        <v/>
      </c>
      <c r="K2248">
        <f>F2248-MIN(F2248,G2248)-I2248</f>
        <v/>
      </c>
    </row>
    <row r="2249">
      <c r="A2249" s="21">
        <f>IF(Rechner!$E$4&lt;&gt;"ok","",IF(Rechner!$E$5+2247&lt;=Rechner!$B$6,Rechner!$E$5+2247,""))</f>
        <v/>
      </c>
      <c r="B2249">
        <f>IF(A2249="","",LOOKUP(A2249,Basiszins!$A$5:$A$18,Basiszins!$B$5:$B$18))</f>
        <v/>
      </c>
      <c r="C2249">
        <f>IF(A2249="","",B2249+Rechner!$E$7)</f>
        <v/>
      </c>
      <c r="D2249">
        <f>J2248</f>
        <v/>
      </c>
      <c r="E2249">
        <f>IF(A2249="",0,D2249*C2249/100/(DATE(YEAR(A2249)+1,1,1)-DATE(YEAR(A2249),1,1)))</f>
        <v/>
      </c>
      <c r="F2249">
        <f>IF(A2249="",0,SUMIF(Rechner!$A$12:$A$21,A2249,Rechner!$B$12:$B$21))</f>
        <v/>
      </c>
      <c r="G2249">
        <f>H2248+E2249</f>
        <v/>
      </c>
      <c r="H2249">
        <f>G2249-MIN(F2249,G2249)</f>
        <v/>
      </c>
      <c r="I2249">
        <f>MIN(F2249-MIN(F2249,G2249),D2249)</f>
        <v/>
      </c>
      <c r="J2249">
        <f>D2249-I2249</f>
        <v/>
      </c>
      <c r="K2249">
        <f>F2249-MIN(F2249,G2249)-I2249</f>
        <v/>
      </c>
    </row>
    <row r="2250">
      <c r="A2250" s="21">
        <f>IF(Rechner!$E$4&lt;&gt;"ok","",IF(Rechner!$E$5+2248&lt;=Rechner!$B$6,Rechner!$E$5+2248,""))</f>
        <v/>
      </c>
      <c r="B2250">
        <f>IF(A2250="","",LOOKUP(A2250,Basiszins!$A$5:$A$18,Basiszins!$B$5:$B$18))</f>
        <v/>
      </c>
      <c r="C2250">
        <f>IF(A2250="","",B2250+Rechner!$E$7)</f>
        <v/>
      </c>
      <c r="D2250">
        <f>J2249</f>
        <v/>
      </c>
      <c r="E2250">
        <f>IF(A2250="",0,D2250*C2250/100/(DATE(YEAR(A2250)+1,1,1)-DATE(YEAR(A2250),1,1)))</f>
        <v/>
      </c>
      <c r="F2250">
        <f>IF(A2250="",0,SUMIF(Rechner!$A$12:$A$21,A2250,Rechner!$B$12:$B$21))</f>
        <v/>
      </c>
      <c r="G2250">
        <f>H2249+E2250</f>
        <v/>
      </c>
      <c r="H2250">
        <f>G2250-MIN(F2250,G2250)</f>
        <v/>
      </c>
      <c r="I2250">
        <f>MIN(F2250-MIN(F2250,G2250),D2250)</f>
        <v/>
      </c>
      <c r="J2250">
        <f>D2250-I2250</f>
        <v/>
      </c>
      <c r="K2250">
        <f>F2250-MIN(F2250,G2250)-I2250</f>
        <v/>
      </c>
    </row>
    <row r="2251">
      <c r="A2251" s="21">
        <f>IF(Rechner!$E$4&lt;&gt;"ok","",IF(Rechner!$E$5+2249&lt;=Rechner!$B$6,Rechner!$E$5+2249,""))</f>
        <v/>
      </c>
      <c r="B2251">
        <f>IF(A2251="","",LOOKUP(A2251,Basiszins!$A$5:$A$18,Basiszins!$B$5:$B$18))</f>
        <v/>
      </c>
      <c r="C2251">
        <f>IF(A2251="","",B2251+Rechner!$E$7)</f>
        <v/>
      </c>
      <c r="D2251">
        <f>J2250</f>
        <v/>
      </c>
      <c r="E2251">
        <f>IF(A2251="",0,D2251*C2251/100/(DATE(YEAR(A2251)+1,1,1)-DATE(YEAR(A2251),1,1)))</f>
        <v/>
      </c>
      <c r="F2251">
        <f>IF(A2251="",0,SUMIF(Rechner!$A$12:$A$21,A2251,Rechner!$B$12:$B$21))</f>
        <v/>
      </c>
      <c r="G2251">
        <f>H2250+E2251</f>
        <v/>
      </c>
      <c r="H2251">
        <f>G2251-MIN(F2251,G2251)</f>
        <v/>
      </c>
      <c r="I2251">
        <f>MIN(F2251-MIN(F2251,G2251),D2251)</f>
        <v/>
      </c>
      <c r="J2251">
        <f>D2251-I2251</f>
        <v/>
      </c>
      <c r="K2251">
        <f>F2251-MIN(F2251,G2251)-I2251</f>
        <v/>
      </c>
    </row>
    <row r="2252">
      <c r="A2252" s="21">
        <f>IF(Rechner!$E$4&lt;&gt;"ok","",IF(Rechner!$E$5+2250&lt;=Rechner!$B$6,Rechner!$E$5+2250,""))</f>
        <v/>
      </c>
      <c r="B2252">
        <f>IF(A2252="","",LOOKUP(A2252,Basiszins!$A$5:$A$18,Basiszins!$B$5:$B$18))</f>
        <v/>
      </c>
      <c r="C2252">
        <f>IF(A2252="","",B2252+Rechner!$E$7)</f>
        <v/>
      </c>
      <c r="D2252">
        <f>J2251</f>
        <v/>
      </c>
      <c r="E2252">
        <f>IF(A2252="",0,D2252*C2252/100/(DATE(YEAR(A2252)+1,1,1)-DATE(YEAR(A2252),1,1)))</f>
        <v/>
      </c>
      <c r="F2252">
        <f>IF(A2252="",0,SUMIF(Rechner!$A$12:$A$21,A2252,Rechner!$B$12:$B$21))</f>
        <v/>
      </c>
      <c r="G2252">
        <f>H2251+E2252</f>
        <v/>
      </c>
      <c r="H2252">
        <f>G2252-MIN(F2252,G2252)</f>
        <v/>
      </c>
      <c r="I2252">
        <f>MIN(F2252-MIN(F2252,G2252),D2252)</f>
        <v/>
      </c>
      <c r="J2252">
        <f>D2252-I2252</f>
        <v/>
      </c>
      <c r="K2252">
        <f>F2252-MIN(F2252,G2252)-I2252</f>
        <v/>
      </c>
    </row>
    <row r="2253">
      <c r="A2253" s="21">
        <f>IF(Rechner!$E$4&lt;&gt;"ok","",IF(Rechner!$E$5+2251&lt;=Rechner!$B$6,Rechner!$E$5+2251,""))</f>
        <v/>
      </c>
      <c r="B2253">
        <f>IF(A2253="","",LOOKUP(A2253,Basiszins!$A$5:$A$18,Basiszins!$B$5:$B$18))</f>
        <v/>
      </c>
      <c r="C2253">
        <f>IF(A2253="","",B2253+Rechner!$E$7)</f>
        <v/>
      </c>
      <c r="D2253">
        <f>J2252</f>
        <v/>
      </c>
      <c r="E2253">
        <f>IF(A2253="",0,D2253*C2253/100/(DATE(YEAR(A2253)+1,1,1)-DATE(YEAR(A2253),1,1)))</f>
        <v/>
      </c>
      <c r="F2253">
        <f>IF(A2253="",0,SUMIF(Rechner!$A$12:$A$21,A2253,Rechner!$B$12:$B$21))</f>
        <v/>
      </c>
      <c r="G2253">
        <f>H2252+E2253</f>
        <v/>
      </c>
      <c r="H2253">
        <f>G2253-MIN(F2253,G2253)</f>
        <v/>
      </c>
      <c r="I2253">
        <f>MIN(F2253-MIN(F2253,G2253),D2253)</f>
        <v/>
      </c>
      <c r="J2253">
        <f>D2253-I2253</f>
        <v/>
      </c>
      <c r="K2253">
        <f>F2253-MIN(F2253,G2253)-I2253</f>
        <v/>
      </c>
    </row>
    <row r="2254">
      <c r="A2254" s="21">
        <f>IF(Rechner!$E$4&lt;&gt;"ok","",IF(Rechner!$E$5+2252&lt;=Rechner!$B$6,Rechner!$E$5+2252,""))</f>
        <v/>
      </c>
      <c r="B2254">
        <f>IF(A2254="","",LOOKUP(A2254,Basiszins!$A$5:$A$18,Basiszins!$B$5:$B$18))</f>
        <v/>
      </c>
      <c r="C2254">
        <f>IF(A2254="","",B2254+Rechner!$E$7)</f>
        <v/>
      </c>
      <c r="D2254">
        <f>J2253</f>
        <v/>
      </c>
      <c r="E2254">
        <f>IF(A2254="",0,D2254*C2254/100/(DATE(YEAR(A2254)+1,1,1)-DATE(YEAR(A2254),1,1)))</f>
        <v/>
      </c>
      <c r="F2254">
        <f>IF(A2254="",0,SUMIF(Rechner!$A$12:$A$21,A2254,Rechner!$B$12:$B$21))</f>
        <v/>
      </c>
      <c r="G2254">
        <f>H2253+E2254</f>
        <v/>
      </c>
      <c r="H2254">
        <f>G2254-MIN(F2254,G2254)</f>
        <v/>
      </c>
      <c r="I2254">
        <f>MIN(F2254-MIN(F2254,G2254),D2254)</f>
        <v/>
      </c>
      <c r="J2254">
        <f>D2254-I2254</f>
        <v/>
      </c>
      <c r="K2254">
        <f>F2254-MIN(F2254,G2254)-I2254</f>
        <v/>
      </c>
    </row>
    <row r="2255">
      <c r="A2255" s="21">
        <f>IF(Rechner!$E$4&lt;&gt;"ok","",IF(Rechner!$E$5+2253&lt;=Rechner!$B$6,Rechner!$E$5+2253,""))</f>
        <v/>
      </c>
      <c r="B2255">
        <f>IF(A2255="","",LOOKUP(A2255,Basiszins!$A$5:$A$18,Basiszins!$B$5:$B$18))</f>
        <v/>
      </c>
      <c r="C2255">
        <f>IF(A2255="","",B2255+Rechner!$E$7)</f>
        <v/>
      </c>
      <c r="D2255">
        <f>J2254</f>
        <v/>
      </c>
      <c r="E2255">
        <f>IF(A2255="",0,D2255*C2255/100/(DATE(YEAR(A2255)+1,1,1)-DATE(YEAR(A2255),1,1)))</f>
        <v/>
      </c>
      <c r="F2255">
        <f>IF(A2255="",0,SUMIF(Rechner!$A$12:$A$21,A2255,Rechner!$B$12:$B$21))</f>
        <v/>
      </c>
      <c r="G2255">
        <f>H2254+E2255</f>
        <v/>
      </c>
      <c r="H2255">
        <f>G2255-MIN(F2255,G2255)</f>
        <v/>
      </c>
      <c r="I2255">
        <f>MIN(F2255-MIN(F2255,G2255),D2255)</f>
        <v/>
      </c>
      <c r="J2255">
        <f>D2255-I2255</f>
        <v/>
      </c>
      <c r="K2255">
        <f>F2255-MIN(F2255,G2255)-I2255</f>
        <v/>
      </c>
    </row>
    <row r="2256">
      <c r="A2256" s="21">
        <f>IF(Rechner!$E$4&lt;&gt;"ok","",IF(Rechner!$E$5+2254&lt;=Rechner!$B$6,Rechner!$E$5+2254,""))</f>
        <v/>
      </c>
      <c r="B2256">
        <f>IF(A2256="","",LOOKUP(A2256,Basiszins!$A$5:$A$18,Basiszins!$B$5:$B$18))</f>
        <v/>
      </c>
      <c r="C2256">
        <f>IF(A2256="","",B2256+Rechner!$E$7)</f>
        <v/>
      </c>
      <c r="D2256">
        <f>J2255</f>
        <v/>
      </c>
      <c r="E2256">
        <f>IF(A2256="",0,D2256*C2256/100/(DATE(YEAR(A2256)+1,1,1)-DATE(YEAR(A2256),1,1)))</f>
        <v/>
      </c>
      <c r="F2256">
        <f>IF(A2256="",0,SUMIF(Rechner!$A$12:$A$21,A2256,Rechner!$B$12:$B$21))</f>
        <v/>
      </c>
      <c r="G2256">
        <f>H2255+E2256</f>
        <v/>
      </c>
      <c r="H2256">
        <f>G2256-MIN(F2256,G2256)</f>
        <v/>
      </c>
      <c r="I2256">
        <f>MIN(F2256-MIN(F2256,G2256),D2256)</f>
        <v/>
      </c>
      <c r="J2256">
        <f>D2256-I2256</f>
        <v/>
      </c>
      <c r="K2256">
        <f>F2256-MIN(F2256,G2256)-I2256</f>
        <v/>
      </c>
    </row>
    <row r="2257">
      <c r="A2257" s="21">
        <f>IF(Rechner!$E$4&lt;&gt;"ok","",IF(Rechner!$E$5+2255&lt;=Rechner!$B$6,Rechner!$E$5+2255,""))</f>
        <v/>
      </c>
      <c r="B2257">
        <f>IF(A2257="","",LOOKUP(A2257,Basiszins!$A$5:$A$18,Basiszins!$B$5:$B$18))</f>
        <v/>
      </c>
      <c r="C2257">
        <f>IF(A2257="","",B2257+Rechner!$E$7)</f>
        <v/>
      </c>
      <c r="D2257">
        <f>J2256</f>
        <v/>
      </c>
      <c r="E2257">
        <f>IF(A2257="",0,D2257*C2257/100/(DATE(YEAR(A2257)+1,1,1)-DATE(YEAR(A2257),1,1)))</f>
        <v/>
      </c>
      <c r="F2257">
        <f>IF(A2257="",0,SUMIF(Rechner!$A$12:$A$21,A2257,Rechner!$B$12:$B$21))</f>
        <v/>
      </c>
      <c r="G2257">
        <f>H2256+E2257</f>
        <v/>
      </c>
      <c r="H2257">
        <f>G2257-MIN(F2257,G2257)</f>
        <v/>
      </c>
      <c r="I2257">
        <f>MIN(F2257-MIN(F2257,G2257),D2257)</f>
        <v/>
      </c>
      <c r="J2257">
        <f>D2257-I2257</f>
        <v/>
      </c>
      <c r="K2257">
        <f>F2257-MIN(F2257,G2257)-I2257</f>
        <v/>
      </c>
    </row>
    <row r="2258">
      <c r="A2258" s="21">
        <f>IF(Rechner!$E$4&lt;&gt;"ok","",IF(Rechner!$E$5+2256&lt;=Rechner!$B$6,Rechner!$E$5+2256,""))</f>
        <v/>
      </c>
      <c r="B2258">
        <f>IF(A2258="","",LOOKUP(A2258,Basiszins!$A$5:$A$18,Basiszins!$B$5:$B$18))</f>
        <v/>
      </c>
      <c r="C2258">
        <f>IF(A2258="","",B2258+Rechner!$E$7)</f>
        <v/>
      </c>
      <c r="D2258">
        <f>J2257</f>
        <v/>
      </c>
      <c r="E2258">
        <f>IF(A2258="",0,D2258*C2258/100/(DATE(YEAR(A2258)+1,1,1)-DATE(YEAR(A2258),1,1)))</f>
        <v/>
      </c>
      <c r="F2258">
        <f>IF(A2258="",0,SUMIF(Rechner!$A$12:$A$21,A2258,Rechner!$B$12:$B$21))</f>
        <v/>
      </c>
      <c r="G2258">
        <f>H2257+E2258</f>
        <v/>
      </c>
      <c r="H2258">
        <f>G2258-MIN(F2258,G2258)</f>
        <v/>
      </c>
      <c r="I2258">
        <f>MIN(F2258-MIN(F2258,G2258),D2258)</f>
        <v/>
      </c>
      <c r="J2258">
        <f>D2258-I2258</f>
        <v/>
      </c>
      <c r="K2258">
        <f>F2258-MIN(F2258,G2258)-I2258</f>
        <v/>
      </c>
    </row>
    <row r="2259">
      <c r="A2259" s="21">
        <f>IF(Rechner!$E$4&lt;&gt;"ok","",IF(Rechner!$E$5+2257&lt;=Rechner!$B$6,Rechner!$E$5+2257,""))</f>
        <v/>
      </c>
      <c r="B2259">
        <f>IF(A2259="","",LOOKUP(A2259,Basiszins!$A$5:$A$18,Basiszins!$B$5:$B$18))</f>
        <v/>
      </c>
      <c r="C2259">
        <f>IF(A2259="","",B2259+Rechner!$E$7)</f>
        <v/>
      </c>
      <c r="D2259">
        <f>J2258</f>
        <v/>
      </c>
      <c r="E2259">
        <f>IF(A2259="",0,D2259*C2259/100/(DATE(YEAR(A2259)+1,1,1)-DATE(YEAR(A2259),1,1)))</f>
        <v/>
      </c>
      <c r="F2259">
        <f>IF(A2259="",0,SUMIF(Rechner!$A$12:$A$21,A2259,Rechner!$B$12:$B$21))</f>
        <v/>
      </c>
      <c r="G2259">
        <f>H2258+E2259</f>
        <v/>
      </c>
      <c r="H2259">
        <f>G2259-MIN(F2259,G2259)</f>
        <v/>
      </c>
      <c r="I2259">
        <f>MIN(F2259-MIN(F2259,G2259),D2259)</f>
        <v/>
      </c>
      <c r="J2259">
        <f>D2259-I2259</f>
        <v/>
      </c>
      <c r="K2259">
        <f>F2259-MIN(F2259,G2259)-I2259</f>
        <v/>
      </c>
    </row>
    <row r="2260">
      <c r="A2260" s="21">
        <f>IF(Rechner!$E$4&lt;&gt;"ok","",IF(Rechner!$E$5+2258&lt;=Rechner!$B$6,Rechner!$E$5+2258,""))</f>
        <v/>
      </c>
      <c r="B2260">
        <f>IF(A2260="","",LOOKUP(A2260,Basiszins!$A$5:$A$18,Basiszins!$B$5:$B$18))</f>
        <v/>
      </c>
      <c r="C2260">
        <f>IF(A2260="","",B2260+Rechner!$E$7)</f>
        <v/>
      </c>
      <c r="D2260">
        <f>J2259</f>
        <v/>
      </c>
      <c r="E2260">
        <f>IF(A2260="",0,D2260*C2260/100/(DATE(YEAR(A2260)+1,1,1)-DATE(YEAR(A2260),1,1)))</f>
        <v/>
      </c>
      <c r="F2260">
        <f>IF(A2260="",0,SUMIF(Rechner!$A$12:$A$21,A2260,Rechner!$B$12:$B$21))</f>
        <v/>
      </c>
      <c r="G2260">
        <f>H2259+E2260</f>
        <v/>
      </c>
      <c r="H2260">
        <f>G2260-MIN(F2260,G2260)</f>
        <v/>
      </c>
      <c r="I2260">
        <f>MIN(F2260-MIN(F2260,G2260),D2260)</f>
        <v/>
      </c>
      <c r="J2260">
        <f>D2260-I2260</f>
        <v/>
      </c>
      <c r="K2260">
        <f>F2260-MIN(F2260,G2260)-I2260</f>
        <v/>
      </c>
    </row>
    <row r="2261">
      <c r="A2261" s="21">
        <f>IF(Rechner!$E$4&lt;&gt;"ok","",IF(Rechner!$E$5+2259&lt;=Rechner!$B$6,Rechner!$E$5+2259,""))</f>
        <v/>
      </c>
      <c r="B2261">
        <f>IF(A2261="","",LOOKUP(A2261,Basiszins!$A$5:$A$18,Basiszins!$B$5:$B$18))</f>
        <v/>
      </c>
      <c r="C2261">
        <f>IF(A2261="","",B2261+Rechner!$E$7)</f>
        <v/>
      </c>
      <c r="D2261">
        <f>J2260</f>
        <v/>
      </c>
      <c r="E2261">
        <f>IF(A2261="",0,D2261*C2261/100/(DATE(YEAR(A2261)+1,1,1)-DATE(YEAR(A2261),1,1)))</f>
        <v/>
      </c>
      <c r="F2261">
        <f>IF(A2261="",0,SUMIF(Rechner!$A$12:$A$21,A2261,Rechner!$B$12:$B$21))</f>
        <v/>
      </c>
      <c r="G2261">
        <f>H2260+E2261</f>
        <v/>
      </c>
      <c r="H2261">
        <f>G2261-MIN(F2261,G2261)</f>
        <v/>
      </c>
      <c r="I2261">
        <f>MIN(F2261-MIN(F2261,G2261),D2261)</f>
        <v/>
      </c>
      <c r="J2261">
        <f>D2261-I2261</f>
        <v/>
      </c>
      <c r="K2261">
        <f>F2261-MIN(F2261,G2261)-I2261</f>
        <v/>
      </c>
    </row>
    <row r="2262">
      <c r="A2262" s="21">
        <f>IF(Rechner!$E$4&lt;&gt;"ok","",IF(Rechner!$E$5+2260&lt;=Rechner!$B$6,Rechner!$E$5+2260,""))</f>
        <v/>
      </c>
      <c r="B2262">
        <f>IF(A2262="","",LOOKUP(A2262,Basiszins!$A$5:$A$18,Basiszins!$B$5:$B$18))</f>
        <v/>
      </c>
      <c r="C2262">
        <f>IF(A2262="","",B2262+Rechner!$E$7)</f>
        <v/>
      </c>
      <c r="D2262">
        <f>J2261</f>
        <v/>
      </c>
      <c r="E2262">
        <f>IF(A2262="",0,D2262*C2262/100/(DATE(YEAR(A2262)+1,1,1)-DATE(YEAR(A2262),1,1)))</f>
        <v/>
      </c>
      <c r="F2262">
        <f>IF(A2262="",0,SUMIF(Rechner!$A$12:$A$21,A2262,Rechner!$B$12:$B$21))</f>
        <v/>
      </c>
      <c r="G2262">
        <f>H2261+E2262</f>
        <v/>
      </c>
      <c r="H2262">
        <f>G2262-MIN(F2262,G2262)</f>
        <v/>
      </c>
      <c r="I2262">
        <f>MIN(F2262-MIN(F2262,G2262),D2262)</f>
        <v/>
      </c>
      <c r="J2262">
        <f>D2262-I2262</f>
        <v/>
      </c>
      <c r="K2262">
        <f>F2262-MIN(F2262,G2262)-I2262</f>
        <v/>
      </c>
    </row>
    <row r="2263">
      <c r="A2263" s="21">
        <f>IF(Rechner!$E$4&lt;&gt;"ok","",IF(Rechner!$E$5+2261&lt;=Rechner!$B$6,Rechner!$E$5+2261,""))</f>
        <v/>
      </c>
      <c r="B2263">
        <f>IF(A2263="","",LOOKUP(A2263,Basiszins!$A$5:$A$18,Basiszins!$B$5:$B$18))</f>
        <v/>
      </c>
      <c r="C2263">
        <f>IF(A2263="","",B2263+Rechner!$E$7)</f>
        <v/>
      </c>
      <c r="D2263">
        <f>J2262</f>
        <v/>
      </c>
      <c r="E2263">
        <f>IF(A2263="",0,D2263*C2263/100/(DATE(YEAR(A2263)+1,1,1)-DATE(YEAR(A2263),1,1)))</f>
        <v/>
      </c>
      <c r="F2263">
        <f>IF(A2263="",0,SUMIF(Rechner!$A$12:$A$21,A2263,Rechner!$B$12:$B$21))</f>
        <v/>
      </c>
      <c r="G2263">
        <f>H2262+E2263</f>
        <v/>
      </c>
      <c r="H2263">
        <f>G2263-MIN(F2263,G2263)</f>
        <v/>
      </c>
      <c r="I2263">
        <f>MIN(F2263-MIN(F2263,G2263),D2263)</f>
        <v/>
      </c>
      <c r="J2263">
        <f>D2263-I2263</f>
        <v/>
      </c>
      <c r="K2263">
        <f>F2263-MIN(F2263,G2263)-I2263</f>
        <v/>
      </c>
    </row>
    <row r="2264">
      <c r="A2264" s="21">
        <f>IF(Rechner!$E$4&lt;&gt;"ok","",IF(Rechner!$E$5+2262&lt;=Rechner!$B$6,Rechner!$E$5+2262,""))</f>
        <v/>
      </c>
      <c r="B2264">
        <f>IF(A2264="","",LOOKUP(A2264,Basiszins!$A$5:$A$18,Basiszins!$B$5:$B$18))</f>
        <v/>
      </c>
      <c r="C2264">
        <f>IF(A2264="","",B2264+Rechner!$E$7)</f>
        <v/>
      </c>
      <c r="D2264">
        <f>J2263</f>
        <v/>
      </c>
      <c r="E2264">
        <f>IF(A2264="",0,D2264*C2264/100/(DATE(YEAR(A2264)+1,1,1)-DATE(YEAR(A2264),1,1)))</f>
        <v/>
      </c>
      <c r="F2264">
        <f>IF(A2264="",0,SUMIF(Rechner!$A$12:$A$21,A2264,Rechner!$B$12:$B$21))</f>
        <v/>
      </c>
      <c r="G2264">
        <f>H2263+E2264</f>
        <v/>
      </c>
      <c r="H2264">
        <f>G2264-MIN(F2264,G2264)</f>
        <v/>
      </c>
      <c r="I2264">
        <f>MIN(F2264-MIN(F2264,G2264),D2264)</f>
        <v/>
      </c>
      <c r="J2264">
        <f>D2264-I2264</f>
        <v/>
      </c>
      <c r="K2264">
        <f>F2264-MIN(F2264,G2264)-I2264</f>
        <v/>
      </c>
    </row>
    <row r="2265">
      <c r="A2265" s="21">
        <f>IF(Rechner!$E$4&lt;&gt;"ok","",IF(Rechner!$E$5+2263&lt;=Rechner!$B$6,Rechner!$E$5+2263,""))</f>
        <v/>
      </c>
      <c r="B2265">
        <f>IF(A2265="","",LOOKUP(A2265,Basiszins!$A$5:$A$18,Basiszins!$B$5:$B$18))</f>
        <v/>
      </c>
      <c r="C2265">
        <f>IF(A2265="","",B2265+Rechner!$E$7)</f>
        <v/>
      </c>
      <c r="D2265">
        <f>J2264</f>
        <v/>
      </c>
      <c r="E2265">
        <f>IF(A2265="",0,D2265*C2265/100/(DATE(YEAR(A2265)+1,1,1)-DATE(YEAR(A2265),1,1)))</f>
        <v/>
      </c>
      <c r="F2265">
        <f>IF(A2265="",0,SUMIF(Rechner!$A$12:$A$21,A2265,Rechner!$B$12:$B$21))</f>
        <v/>
      </c>
      <c r="G2265">
        <f>H2264+E2265</f>
        <v/>
      </c>
      <c r="H2265">
        <f>G2265-MIN(F2265,G2265)</f>
        <v/>
      </c>
      <c r="I2265">
        <f>MIN(F2265-MIN(F2265,G2265),D2265)</f>
        <v/>
      </c>
      <c r="J2265">
        <f>D2265-I2265</f>
        <v/>
      </c>
      <c r="K2265">
        <f>F2265-MIN(F2265,G2265)-I2265</f>
        <v/>
      </c>
    </row>
    <row r="2266">
      <c r="A2266" s="21">
        <f>IF(Rechner!$E$4&lt;&gt;"ok","",IF(Rechner!$E$5+2264&lt;=Rechner!$B$6,Rechner!$E$5+2264,""))</f>
        <v/>
      </c>
      <c r="B2266">
        <f>IF(A2266="","",LOOKUP(A2266,Basiszins!$A$5:$A$18,Basiszins!$B$5:$B$18))</f>
        <v/>
      </c>
      <c r="C2266">
        <f>IF(A2266="","",B2266+Rechner!$E$7)</f>
        <v/>
      </c>
      <c r="D2266">
        <f>J2265</f>
        <v/>
      </c>
      <c r="E2266">
        <f>IF(A2266="",0,D2266*C2266/100/(DATE(YEAR(A2266)+1,1,1)-DATE(YEAR(A2266),1,1)))</f>
        <v/>
      </c>
      <c r="F2266">
        <f>IF(A2266="",0,SUMIF(Rechner!$A$12:$A$21,A2266,Rechner!$B$12:$B$21))</f>
        <v/>
      </c>
      <c r="G2266">
        <f>H2265+E2266</f>
        <v/>
      </c>
      <c r="H2266">
        <f>G2266-MIN(F2266,G2266)</f>
        <v/>
      </c>
      <c r="I2266">
        <f>MIN(F2266-MIN(F2266,G2266),D2266)</f>
        <v/>
      </c>
      <c r="J2266">
        <f>D2266-I2266</f>
        <v/>
      </c>
      <c r="K2266">
        <f>F2266-MIN(F2266,G2266)-I2266</f>
        <v/>
      </c>
    </row>
    <row r="2267">
      <c r="A2267" s="21">
        <f>IF(Rechner!$E$4&lt;&gt;"ok","",IF(Rechner!$E$5+2265&lt;=Rechner!$B$6,Rechner!$E$5+2265,""))</f>
        <v/>
      </c>
      <c r="B2267">
        <f>IF(A2267="","",LOOKUP(A2267,Basiszins!$A$5:$A$18,Basiszins!$B$5:$B$18))</f>
        <v/>
      </c>
      <c r="C2267">
        <f>IF(A2267="","",B2267+Rechner!$E$7)</f>
        <v/>
      </c>
      <c r="D2267">
        <f>J2266</f>
        <v/>
      </c>
      <c r="E2267">
        <f>IF(A2267="",0,D2267*C2267/100/(DATE(YEAR(A2267)+1,1,1)-DATE(YEAR(A2267),1,1)))</f>
        <v/>
      </c>
      <c r="F2267">
        <f>IF(A2267="",0,SUMIF(Rechner!$A$12:$A$21,A2267,Rechner!$B$12:$B$21))</f>
        <v/>
      </c>
      <c r="G2267">
        <f>H2266+E2267</f>
        <v/>
      </c>
      <c r="H2267">
        <f>G2267-MIN(F2267,G2267)</f>
        <v/>
      </c>
      <c r="I2267">
        <f>MIN(F2267-MIN(F2267,G2267),D2267)</f>
        <v/>
      </c>
      <c r="J2267">
        <f>D2267-I2267</f>
        <v/>
      </c>
      <c r="K2267">
        <f>F2267-MIN(F2267,G2267)-I2267</f>
        <v/>
      </c>
    </row>
    <row r="2268">
      <c r="A2268" s="21">
        <f>IF(Rechner!$E$4&lt;&gt;"ok","",IF(Rechner!$E$5+2266&lt;=Rechner!$B$6,Rechner!$E$5+2266,""))</f>
        <v/>
      </c>
      <c r="B2268">
        <f>IF(A2268="","",LOOKUP(A2268,Basiszins!$A$5:$A$18,Basiszins!$B$5:$B$18))</f>
        <v/>
      </c>
      <c r="C2268">
        <f>IF(A2268="","",B2268+Rechner!$E$7)</f>
        <v/>
      </c>
      <c r="D2268">
        <f>J2267</f>
        <v/>
      </c>
      <c r="E2268">
        <f>IF(A2268="",0,D2268*C2268/100/(DATE(YEAR(A2268)+1,1,1)-DATE(YEAR(A2268),1,1)))</f>
        <v/>
      </c>
      <c r="F2268">
        <f>IF(A2268="",0,SUMIF(Rechner!$A$12:$A$21,A2268,Rechner!$B$12:$B$21))</f>
        <v/>
      </c>
      <c r="G2268">
        <f>H2267+E2268</f>
        <v/>
      </c>
      <c r="H2268">
        <f>G2268-MIN(F2268,G2268)</f>
        <v/>
      </c>
      <c r="I2268">
        <f>MIN(F2268-MIN(F2268,G2268),D2268)</f>
        <v/>
      </c>
      <c r="J2268">
        <f>D2268-I2268</f>
        <v/>
      </c>
      <c r="K2268">
        <f>F2268-MIN(F2268,G2268)-I2268</f>
        <v/>
      </c>
    </row>
    <row r="2269">
      <c r="A2269" s="21">
        <f>IF(Rechner!$E$4&lt;&gt;"ok","",IF(Rechner!$E$5+2267&lt;=Rechner!$B$6,Rechner!$E$5+2267,""))</f>
        <v/>
      </c>
      <c r="B2269">
        <f>IF(A2269="","",LOOKUP(A2269,Basiszins!$A$5:$A$18,Basiszins!$B$5:$B$18))</f>
        <v/>
      </c>
      <c r="C2269">
        <f>IF(A2269="","",B2269+Rechner!$E$7)</f>
        <v/>
      </c>
      <c r="D2269">
        <f>J2268</f>
        <v/>
      </c>
      <c r="E2269">
        <f>IF(A2269="",0,D2269*C2269/100/(DATE(YEAR(A2269)+1,1,1)-DATE(YEAR(A2269),1,1)))</f>
        <v/>
      </c>
      <c r="F2269">
        <f>IF(A2269="",0,SUMIF(Rechner!$A$12:$A$21,A2269,Rechner!$B$12:$B$21))</f>
        <v/>
      </c>
      <c r="G2269">
        <f>H2268+E2269</f>
        <v/>
      </c>
      <c r="H2269">
        <f>G2269-MIN(F2269,G2269)</f>
        <v/>
      </c>
      <c r="I2269">
        <f>MIN(F2269-MIN(F2269,G2269),D2269)</f>
        <v/>
      </c>
      <c r="J2269">
        <f>D2269-I2269</f>
        <v/>
      </c>
      <c r="K2269">
        <f>F2269-MIN(F2269,G2269)-I2269</f>
        <v/>
      </c>
    </row>
    <row r="2270">
      <c r="A2270" s="21">
        <f>IF(Rechner!$E$4&lt;&gt;"ok","",IF(Rechner!$E$5+2268&lt;=Rechner!$B$6,Rechner!$E$5+2268,""))</f>
        <v/>
      </c>
      <c r="B2270">
        <f>IF(A2270="","",LOOKUP(A2270,Basiszins!$A$5:$A$18,Basiszins!$B$5:$B$18))</f>
        <v/>
      </c>
      <c r="C2270">
        <f>IF(A2270="","",B2270+Rechner!$E$7)</f>
        <v/>
      </c>
      <c r="D2270">
        <f>J2269</f>
        <v/>
      </c>
      <c r="E2270">
        <f>IF(A2270="",0,D2270*C2270/100/(DATE(YEAR(A2270)+1,1,1)-DATE(YEAR(A2270),1,1)))</f>
        <v/>
      </c>
      <c r="F2270">
        <f>IF(A2270="",0,SUMIF(Rechner!$A$12:$A$21,A2270,Rechner!$B$12:$B$21))</f>
        <v/>
      </c>
      <c r="G2270">
        <f>H2269+E2270</f>
        <v/>
      </c>
      <c r="H2270">
        <f>G2270-MIN(F2270,G2270)</f>
        <v/>
      </c>
      <c r="I2270">
        <f>MIN(F2270-MIN(F2270,G2270),D2270)</f>
        <v/>
      </c>
      <c r="J2270">
        <f>D2270-I2270</f>
        <v/>
      </c>
      <c r="K2270">
        <f>F2270-MIN(F2270,G2270)-I2270</f>
        <v/>
      </c>
    </row>
    <row r="2271">
      <c r="A2271" s="21">
        <f>IF(Rechner!$E$4&lt;&gt;"ok","",IF(Rechner!$E$5+2269&lt;=Rechner!$B$6,Rechner!$E$5+2269,""))</f>
        <v/>
      </c>
      <c r="B2271">
        <f>IF(A2271="","",LOOKUP(A2271,Basiszins!$A$5:$A$18,Basiszins!$B$5:$B$18))</f>
        <v/>
      </c>
      <c r="C2271">
        <f>IF(A2271="","",B2271+Rechner!$E$7)</f>
        <v/>
      </c>
      <c r="D2271">
        <f>J2270</f>
        <v/>
      </c>
      <c r="E2271">
        <f>IF(A2271="",0,D2271*C2271/100/(DATE(YEAR(A2271)+1,1,1)-DATE(YEAR(A2271),1,1)))</f>
        <v/>
      </c>
      <c r="F2271">
        <f>IF(A2271="",0,SUMIF(Rechner!$A$12:$A$21,A2271,Rechner!$B$12:$B$21))</f>
        <v/>
      </c>
      <c r="G2271">
        <f>H2270+E2271</f>
        <v/>
      </c>
      <c r="H2271">
        <f>G2271-MIN(F2271,G2271)</f>
        <v/>
      </c>
      <c r="I2271">
        <f>MIN(F2271-MIN(F2271,G2271),D2271)</f>
        <v/>
      </c>
      <c r="J2271">
        <f>D2271-I2271</f>
        <v/>
      </c>
      <c r="K2271">
        <f>F2271-MIN(F2271,G2271)-I2271</f>
        <v/>
      </c>
    </row>
    <row r="2272">
      <c r="A2272" s="21">
        <f>IF(Rechner!$E$4&lt;&gt;"ok","",IF(Rechner!$E$5+2270&lt;=Rechner!$B$6,Rechner!$E$5+2270,""))</f>
        <v/>
      </c>
      <c r="B2272">
        <f>IF(A2272="","",LOOKUP(A2272,Basiszins!$A$5:$A$18,Basiszins!$B$5:$B$18))</f>
        <v/>
      </c>
      <c r="C2272">
        <f>IF(A2272="","",B2272+Rechner!$E$7)</f>
        <v/>
      </c>
      <c r="D2272">
        <f>J2271</f>
        <v/>
      </c>
      <c r="E2272">
        <f>IF(A2272="",0,D2272*C2272/100/(DATE(YEAR(A2272)+1,1,1)-DATE(YEAR(A2272),1,1)))</f>
        <v/>
      </c>
      <c r="F2272">
        <f>IF(A2272="",0,SUMIF(Rechner!$A$12:$A$21,A2272,Rechner!$B$12:$B$21))</f>
        <v/>
      </c>
      <c r="G2272">
        <f>H2271+E2272</f>
        <v/>
      </c>
      <c r="H2272">
        <f>G2272-MIN(F2272,G2272)</f>
        <v/>
      </c>
      <c r="I2272">
        <f>MIN(F2272-MIN(F2272,G2272),D2272)</f>
        <v/>
      </c>
      <c r="J2272">
        <f>D2272-I2272</f>
        <v/>
      </c>
      <c r="K2272">
        <f>F2272-MIN(F2272,G2272)-I2272</f>
        <v/>
      </c>
    </row>
    <row r="2273">
      <c r="A2273" s="21">
        <f>IF(Rechner!$E$4&lt;&gt;"ok","",IF(Rechner!$E$5+2271&lt;=Rechner!$B$6,Rechner!$E$5+2271,""))</f>
        <v/>
      </c>
      <c r="B2273">
        <f>IF(A2273="","",LOOKUP(A2273,Basiszins!$A$5:$A$18,Basiszins!$B$5:$B$18))</f>
        <v/>
      </c>
      <c r="C2273">
        <f>IF(A2273="","",B2273+Rechner!$E$7)</f>
        <v/>
      </c>
      <c r="D2273">
        <f>J2272</f>
        <v/>
      </c>
      <c r="E2273">
        <f>IF(A2273="",0,D2273*C2273/100/(DATE(YEAR(A2273)+1,1,1)-DATE(YEAR(A2273),1,1)))</f>
        <v/>
      </c>
      <c r="F2273">
        <f>IF(A2273="",0,SUMIF(Rechner!$A$12:$A$21,A2273,Rechner!$B$12:$B$21))</f>
        <v/>
      </c>
      <c r="G2273">
        <f>H2272+E2273</f>
        <v/>
      </c>
      <c r="H2273">
        <f>G2273-MIN(F2273,G2273)</f>
        <v/>
      </c>
      <c r="I2273">
        <f>MIN(F2273-MIN(F2273,G2273),D2273)</f>
        <v/>
      </c>
      <c r="J2273">
        <f>D2273-I2273</f>
        <v/>
      </c>
      <c r="K2273">
        <f>F2273-MIN(F2273,G2273)-I2273</f>
        <v/>
      </c>
    </row>
    <row r="2274">
      <c r="A2274" s="21">
        <f>IF(Rechner!$E$4&lt;&gt;"ok","",IF(Rechner!$E$5+2272&lt;=Rechner!$B$6,Rechner!$E$5+2272,""))</f>
        <v/>
      </c>
      <c r="B2274">
        <f>IF(A2274="","",LOOKUP(A2274,Basiszins!$A$5:$A$18,Basiszins!$B$5:$B$18))</f>
        <v/>
      </c>
      <c r="C2274">
        <f>IF(A2274="","",B2274+Rechner!$E$7)</f>
        <v/>
      </c>
      <c r="D2274">
        <f>J2273</f>
        <v/>
      </c>
      <c r="E2274">
        <f>IF(A2274="",0,D2274*C2274/100/(DATE(YEAR(A2274)+1,1,1)-DATE(YEAR(A2274),1,1)))</f>
        <v/>
      </c>
      <c r="F2274">
        <f>IF(A2274="",0,SUMIF(Rechner!$A$12:$A$21,A2274,Rechner!$B$12:$B$21))</f>
        <v/>
      </c>
      <c r="G2274">
        <f>H2273+E2274</f>
        <v/>
      </c>
      <c r="H2274">
        <f>G2274-MIN(F2274,G2274)</f>
        <v/>
      </c>
      <c r="I2274">
        <f>MIN(F2274-MIN(F2274,G2274),D2274)</f>
        <v/>
      </c>
      <c r="J2274">
        <f>D2274-I2274</f>
        <v/>
      </c>
      <c r="K2274">
        <f>F2274-MIN(F2274,G2274)-I2274</f>
        <v/>
      </c>
    </row>
    <row r="2275">
      <c r="A2275" s="21">
        <f>IF(Rechner!$E$4&lt;&gt;"ok","",IF(Rechner!$E$5+2273&lt;=Rechner!$B$6,Rechner!$E$5+2273,""))</f>
        <v/>
      </c>
      <c r="B2275">
        <f>IF(A2275="","",LOOKUP(A2275,Basiszins!$A$5:$A$18,Basiszins!$B$5:$B$18))</f>
        <v/>
      </c>
      <c r="C2275">
        <f>IF(A2275="","",B2275+Rechner!$E$7)</f>
        <v/>
      </c>
      <c r="D2275">
        <f>J2274</f>
        <v/>
      </c>
      <c r="E2275">
        <f>IF(A2275="",0,D2275*C2275/100/(DATE(YEAR(A2275)+1,1,1)-DATE(YEAR(A2275),1,1)))</f>
        <v/>
      </c>
      <c r="F2275">
        <f>IF(A2275="",0,SUMIF(Rechner!$A$12:$A$21,A2275,Rechner!$B$12:$B$21))</f>
        <v/>
      </c>
      <c r="G2275">
        <f>H2274+E2275</f>
        <v/>
      </c>
      <c r="H2275">
        <f>G2275-MIN(F2275,G2275)</f>
        <v/>
      </c>
      <c r="I2275">
        <f>MIN(F2275-MIN(F2275,G2275),D2275)</f>
        <v/>
      </c>
      <c r="J2275">
        <f>D2275-I2275</f>
        <v/>
      </c>
      <c r="K2275">
        <f>F2275-MIN(F2275,G2275)-I2275</f>
        <v/>
      </c>
    </row>
    <row r="2276">
      <c r="A2276" s="21">
        <f>IF(Rechner!$E$4&lt;&gt;"ok","",IF(Rechner!$E$5+2274&lt;=Rechner!$B$6,Rechner!$E$5+2274,""))</f>
        <v/>
      </c>
      <c r="B2276">
        <f>IF(A2276="","",LOOKUP(A2276,Basiszins!$A$5:$A$18,Basiszins!$B$5:$B$18))</f>
        <v/>
      </c>
      <c r="C2276">
        <f>IF(A2276="","",B2276+Rechner!$E$7)</f>
        <v/>
      </c>
      <c r="D2276">
        <f>J2275</f>
        <v/>
      </c>
      <c r="E2276">
        <f>IF(A2276="",0,D2276*C2276/100/(DATE(YEAR(A2276)+1,1,1)-DATE(YEAR(A2276),1,1)))</f>
        <v/>
      </c>
      <c r="F2276">
        <f>IF(A2276="",0,SUMIF(Rechner!$A$12:$A$21,A2276,Rechner!$B$12:$B$21))</f>
        <v/>
      </c>
      <c r="G2276">
        <f>H2275+E2276</f>
        <v/>
      </c>
      <c r="H2276">
        <f>G2276-MIN(F2276,G2276)</f>
        <v/>
      </c>
      <c r="I2276">
        <f>MIN(F2276-MIN(F2276,G2276),D2276)</f>
        <v/>
      </c>
      <c r="J2276">
        <f>D2276-I2276</f>
        <v/>
      </c>
      <c r="K2276">
        <f>F2276-MIN(F2276,G2276)-I2276</f>
        <v/>
      </c>
    </row>
    <row r="2277">
      <c r="A2277" s="21">
        <f>IF(Rechner!$E$4&lt;&gt;"ok","",IF(Rechner!$E$5+2275&lt;=Rechner!$B$6,Rechner!$E$5+2275,""))</f>
        <v/>
      </c>
      <c r="B2277">
        <f>IF(A2277="","",LOOKUP(A2277,Basiszins!$A$5:$A$18,Basiszins!$B$5:$B$18))</f>
        <v/>
      </c>
      <c r="C2277">
        <f>IF(A2277="","",B2277+Rechner!$E$7)</f>
        <v/>
      </c>
      <c r="D2277">
        <f>J2276</f>
        <v/>
      </c>
      <c r="E2277">
        <f>IF(A2277="",0,D2277*C2277/100/(DATE(YEAR(A2277)+1,1,1)-DATE(YEAR(A2277),1,1)))</f>
        <v/>
      </c>
      <c r="F2277">
        <f>IF(A2277="",0,SUMIF(Rechner!$A$12:$A$21,A2277,Rechner!$B$12:$B$21))</f>
        <v/>
      </c>
      <c r="G2277">
        <f>H2276+E2277</f>
        <v/>
      </c>
      <c r="H2277">
        <f>G2277-MIN(F2277,G2277)</f>
        <v/>
      </c>
      <c r="I2277">
        <f>MIN(F2277-MIN(F2277,G2277),D2277)</f>
        <v/>
      </c>
      <c r="J2277">
        <f>D2277-I2277</f>
        <v/>
      </c>
      <c r="K2277">
        <f>F2277-MIN(F2277,G2277)-I2277</f>
        <v/>
      </c>
    </row>
    <row r="2278">
      <c r="A2278" s="21">
        <f>IF(Rechner!$E$4&lt;&gt;"ok","",IF(Rechner!$E$5+2276&lt;=Rechner!$B$6,Rechner!$E$5+2276,""))</f>
        <v/>
      </c>
      <c r="B2278">
        <f>IF(A2278="","",LOOKUP(A2278,Basiszins!$A$5:$A$18,Basiszins!$B$5:$B$18))</f>
        <v/>
      </c>
      <c r="C2278">
        <f>IF(A2278="","",B2278+Rechner!$E$7)</f>
        <v/>
      </c>
      <c r="D2278">
        <f>J2277</f>
        <v/>
      </c>
      <c r="E2278">
        <f>IF(A2278="",0,D2278*C2278/100/(DATE(YEAR(A2278)+1,1,1)-DATE(YEAR(A2278),1,1)))</f>
        <v/>
      </c>
      <c r="F2278">
        <f>IF(A2278="",0,SUMIF(Rechner!$A$12:$A$21,A2278,Rechner!$B$12:$B$21))</f>
        <v/>
      </c>
      <c r="G2278">
        <f>H2277+E2278</f>
        <v/>
      </c>
      <c r="H2278">
        <f>G2278-MIN(F2278,G2278)</f>
        <v/>
      </c>
      <c r="I2278">
        <f>MIN(F2278-MIN(F2278,G2278),D2278)</f>
        <v/>
      </c>
      <c r="J2278">
        <f>D2278-I2278</f>
        <v/>
      </c>
      <c r="K2278">
        <f>F2278-MIN(F2278,G2278)-I2278</f>
        <v/>
      </c>
    </row>
    <row r="2279">
      <c r="A2279" s="21">
        <f>IF(Rechner!$E$4&lt;&gt;"ok","",IF(Rechner!$E$5+2277&lt;=Rechner!$B$6,Rechner!$E$5+2277,""))</f>
        <v/>
      </c>
      <c r="B2279">
        <f>IF(A2279="","",LOOKUP(A2279,Basiszins!$A$5:$A$18,Basiszins!$B$5:$B$18))</f>
        <v/>
      </c>
      <c r="C2279">
        <f>IF(A2279="","",B2279+Rechner!$E$7)</f>
        <v/>
      </c>
      <c r="D2279">
        <f>J2278</f>
        <v/>
      </c>
      <c r="E2279">
        <f>IF(A2279="",0,D2279*C2279/100/(DATE(YEAR(A2279)+1,1,1)-DATE(YEAR(A2279),1,1)))</f>
        <v/>
      </c>
      <c r="F2279">
        <f>IF(A2279="",0,SUMIF(Rechner!$A$12:$A$21,A2279,Rechner!$B$12:$B$21))</f>
        <v/>
      </c>
      <c r="G2279">
        <f>H2278+E2279</f>
        <v/>
      </c>
      <c r="H2279">
        <f>G2279-MIN(F2279,G2279)</f>
        <v/>
      </c>
      <c r="I2279">
        <f>MIN(F2279-MIN(F2279,G2279),D2279)</f>
        <v/>
      </c>
      <c r="J2279">
        <f>D2279-I2279</f>
        <v/>
      </c>
      <c r="K2279">
        <f>F2279-MIN(F2279,G2279)-I2279</f>
        <v/>
      </c>
    </row>
    <row r="2280">
      <c r="A2280" s="21">
        <f>IF(Rechner!$E$4&lt;&gt;"ok","",IF(Rechner!$E$5+2278&lt;=Rechner!$B$6,Rechner!$E$5+2278,""))</f>
        <v/>
      </c>
      <c r="B2280">
        <f>IF(A2280="","",LOOKUP(A2280,Basiszins!$A$5:$A$18,Basiszins!$B$5:$B$18))</f>
        <v/>
      </c>
      <c r="C2280">
        <f>IF(A2280="","",B2280+Rechner!$E$7)</f>
        <v/>
      </c>
      <c r="D2280">
        <f>J2279</f>
        <v/>
      </c>
      <c r="E2280">
        <f>IF(A2280="",0,D2280*C2280/100/(DATE(YEAR(A2280)+1,1,1)-DATE(YEAR(A2280),1,1)))</f>
        <v/>
      </c>
      <c r="F2280">
        <f>IF(A2280="",0,SUMIF(Rechner!$A$12:$A$21,A2280,Rechner!$B$12:$B$21))</f>
        <v/>
      </c>
      <c r="G2280">
        <f>H2279+E2280</f>
        <v/>
      </c>
      <c r="H2280">
        <f>G2280-MIN(F2280,G2280)</f>
        <v/>
      </c>
      <c r="I2280">
        <f>MIN(F2280-MIN(F2280,G2280),D2280)</f>
        <v/>
      </c>
      <c r="J2280">
        <f>D2280-I2280</f>
        <v/>
      </c>
      <c r="K2280">
        <f>F2280-MIN(F2280,G2280)-I2280</f>
        <v/>
      </c>
    </row>
    <row r="2281">
      <c r="A2281" s="21">
        <f>IF(Rechner!$E$4&lt;&gt;"ok","",IF(Rechner!$E$5+2279&lt;=Rechner!$B$6,Rechner!$E$5+2279,""))</f>
        <v/>
      </c>
      <c r="B2281">
        <f>IF(A2281="","",LOOKUP(A2281,Basiszins!$A$5:$A$18,Basiszins!$B$5:$B$18))</f>
        <v/>
      </c>
      <c r="C2281">
        <f>IF(A2281="","",B2281+Rechner!$E$7)</f>
        <v/>
      </c>
      <c r="D2281">
        <f>J2280</f>
        <v/>
      </c>
      <c r="E2281">
        <f>IF(A2281="",0,D2281*C2281/100/(DATE(YEAR(A2281)+1,1,1)-DATE(YEAR(A2281),1,1)))</f>
        <v/>
      </c>
      <c r="F2281">
        <f>IF(A2281="",0,SUMIF(Rechner!$A$12:$A$21,A2281,Rechner!$B$12:$B$21))</f>
        <v/>
      </c>
      <c r="G2281">
        <f>H2280+E2281</f>
        <v/>
      </c>
      <c r="H2281">
        <f>G2281-MIN(F2281,G2281)</f>
        <v/>
      </c>
      <c r="I2281">
        <f>MIN(F2281-MIN(F2281,G2281),D2281)</f>
        <v/>
      </c>
      <c r="J2281">
        <f>D2281-I2281</f>
        <v/>
      </c>
      <c r="K2281">
        <f>F2281-MIN(F2281,G2281)-I2281</f>
        <v/>
      </c>
    </row>
    <row r="2282">
      <c r="A2282" s="21">
        <f>IF(Rechner!$E$4&lt;&gt;"ok","",IF(Rechner!$E$5+2280&lt;=Rechner!$B$6,Rechner!$E$5+2280,""))</f>
        <v/>
      </c>
      <c r="B2282">
        <f>IF(A2282="","",LOOKUP(A2282,Basiszins!$A$5:$A$18,Basiszins!$B$5:$B$18))</f>
        <v/>
      </c>
      <c r="C2282">
        <f>IF(A2282="","",B2282+Rechner!$E$7)</f>
        <v/>
      </c>
      <c r="D2282">
        <f>J2281</f>
        <v/>
      </c>
      <c r="E2282">
        <f>IF(A2282="",0,D2282*C2282/100/(DATE(YEAR(A2282)+1,1,1)-DATE(YEAR(A2282),1,1)))</f>
        <v/>
      </c>
      <c r="F2282">
        <f>IF(A2282="",0,SUMIF(Rechner!$A$12:$A$21,A2282,Rechner!$B$12:$B$21))</f>
        <v/>
      </c>
      <c r="G2282">
        <f>H2281+E2282</f>
        <v/>
      </c>
      <c r="H2282">
        <f>G2282-MIN(F2282,G2282)</f>
        <v/>
      </c>
      <c r="I2282">
        <f>MIN(F2282-MIN(F2282,G2282),D2282)</f>
        <v/>
      </c>
      <c r="J2282">
        <f>D2282-I2282</f>
        <v/>
      </c>
      <c r="K2282">
        <f>F2282-MIN(F2282,G2282)-I2282</f>
        <v/>
      </c>
    </row>
    <row r="2283">
      <c r="A2283" s="21">
        <f>IF(Rechner!$E$4&lt;&gt;"ok","",IF(Rechner!$E$5+2281&lt;=Rechner!$B$6,Rechner!$E$5+2281,""))</f>
        <v/>
      </c>
      <c r="B2283">
        <f>IF(A2283="","",LOOKUP(A2283,Basiszins!$A$5:$A$18,Basiszins!$B$5:$B$18))</f>
        <v/>
      </c>
      <c r="C2283">
        <f>IF(A2283="","",B2283+Rechner!$E$7)</f>
        <v/>
      </c>
      <c r="D2283">
        <f>J2282</f>
        <v/>
      </c>
      <c r="E2283">
        <f>IF(A2283="",0,D2283*C2283/100/(DATE(YEAR(A2283)+1,1,1)-DATE(YEAR(A2283),1,1)))</f>
        <v/>
      </c>
      <c r="F2283">
        <f>IF(A2283="",0,SUMIF(Rechner!$A$12:$A$21,A2283,Rechner!$B$12:$B$21))</f>
        <v/>
      </c>
      <c r="G2283">
        <f>H2282+E2283</f>
        <v/>
      </c>
      <c r="H2283">
        <f>G2283-MIN(F2283,G2283)</f>
        <v/>
      </c>
      <c r="I2283">
        <f>MIN(F2283-MIN(F2283,G2283),D2283)</f>
        <v/>
      </c>
      <c r="J2283">
        <f>D2283-I2283</f>
        <v/>
      </c>
      <c r="K2283">
        <f>F2283-MIN(F2283,G2283)-I2283</f>
        <v/>
      </c>
    </row>
    <row r="2284">
      <c r="A2284" s="21">
        <f>IF(Rechner!$E$4&lt;&gt;"ok","",IF(Rechner!$E$5+2282&lt;=Rechner!$B$6,Rechner!$E$5+2282,""))</f>
        <v/>
      </c>
      <c r="B2284">
        <f>IF(A2284="","",LOOKUP(A2284,Basiszins!$A$5:$A$18,Basiszins!$B$5:$B$18))</f>
        <v/>
      </c>
      <c r="C2284">
        <f>IF(A2284="","",B2284+Rechner!$E$7)</f>
        <v/>
      </c>
      <c r="D2284">
        <f>J2283</f>
        <v/>
      </c>
      <c r="E2284">
        <f>IF(A2284="",0,D2284*C2284/100/(DATE(YEAR(A2284)+1,1,1)-DATE(YEAR(A2284),1,1)))</f>
        <v/>
      </c>
      <c r="F2284">
        <f>IF(A2284="",0,SUMIF(Rechner!$A$12:$A$21,A2284,Rechner!$B$12:$B$21))</f>
        <v/>
      </c>
      <c r="G2284">
        <f>H2283+E2284</f>
        <v/>
      </c>
      <c r="H2284">
        <f>G2284-MIN(F2284,G2284)</f>
        <v/>
      </c>
      <c r="I2284">
        <f>MIN(F2284-MIN(F2284,G2284),D2284)</f>
        <v/>
      </c>
      <c r="J2284">
        <f>D2284-I2284</f>
        <v/>
      </c>
      <c r="K2284">
        <f>F2284-MIN(F2284,G2284)-I2284</f>
        <v/>
      </c>
    </row>
    <row r="2285">
      <c r="A2285" s="21">
        <f>IF(Rechner!$E$4&lt;&gt;"ok","",IF(Rechner!$E$5+2283&lt;=Rechner!$B$6,Rechner!$E$5+2283,""))</f>
        <v/>
      </c>
      <c r="B2285">
        <f>IF(A2285="","",LOOKUP(A2285,Basiszins!$A$5:$A$18,Basiszins!$B$5:$B$18))</f>
        <v/>
      </c>
      <c r="C2285">
        <f>IF(A2285="","",B2285+Rechner!$E$7)</f>
        <v/>
      </c>
      <c r="D2285">
        <f>J2284</f>
        <v/>
      </c>
      <c r="E2285">
        <f>IF(A2285="",0,D2285*C2285/100/(DATE(YEAR(A2285)+1,1,1)-DATE(YEAR(A2285),1,1)))</f>
        <v/>
      </c>
      <c r="F2285">
        <f>IF(A2285="",0,SUMIF(Rechner!$A$12:$A$21,A2285,Rechner!$B$12:$B$21))</f>
        <v/>
      </c>
      <c r="G2285">
        <f>H2284+E2285</f>
        <v/>
      </c>
      <c r="H2285">
        <f>G2285-MIN(F2285,G2285)</f>
        <v/>
      </c>
      <c r="I2285">
        <f>MIN(F2285-MIN(F2285,G2285),D2285)</f>
        <v/>
      </c>
      <c r="J2285">
        <f>D2285-I2285</f>
        <v/>
      </c>
      <c r="K2285">
        <f>F2285-MIN(F2285,G2285)-I2285</f>
        <v/>
      </c>
    </row>
    <row r="2286">
      <c r="A2286" s="21">
        <f>IF(Rechner!$E$4&lt;&gt;"ok","",IF(Rechner!$E$5+2284&lt;=Rechner!$B$6,Rechner!$E$5+2284,""))</f>
        <v/>
      </c>
      <c r="B2286">
        <f>IF(A2286="","",LOOKUP(A2286,Basiszins!$A$5:$A$18,Basiszins!$B$5:$B$18))</f>
        <v/>
      </c>
      <c r="C2286">
        <f>IF(A2286="","",B2286+Rechner!$E$7)</f>
        <v/>
      </c>
      <c r="D2286">
        <f>J2285</f>
        <v/>
      </c>
      <c r="E2286">
        <f>IF(A2286="",0,D2286*C2286/100/(DATE(YEAR(A2286)+1,1,1)-DATE(YEAR(A2286),1,1)))</f>
        <v/>
      </c>
      <c r="F2286">
        <f>IF(A2286="",0,SUMIF(Rechner!$A$12:$A$21,A2286,Rechner!$B$12:$B$21))</f>
        <v/>
      </c>
      <c r="G2286">
        <f>H2285+E2286</f>
        <v/>
      </c>
      <c r="H2286">
        <f>G2286-MIN(F2286,G2286)</f>
        <v/>
      </c>
      <c r="I2286">
        <f>MIN(F2286-MIN(F2286,G2286),D2286)</f>
        <v/>
      </c>
      <c r="J2286">
        <f>D2286-I2286</f>
        <v/>
      </c>
      <c r="K2286">
        <f>F2286-MIN(F2286,G2286)-I2286</f>
        <v/>
      </c>
    </row>
    <row r="2287">
      <c r="A2287" s="21">
        <f>IF(Rechner!$E$4&lt;&gt;"ok","",IF(Rechner!$E$5+2285&lt;=Rechner!$B$6,Rechner!$E$5+2285,""))</f>
        <v/>
      </c>
      <c r="B2287">
        <f>IF(A2287="","",LOOKUP(A2287,Basiszins!$A$5:$A$18,Basiszins!$B$5:$B$18))</f>
        <v/>
      </c>
      <c r="C2287">
        <f>IF(A2287="","",B2287+Rechner!$E$7)</f>
        <v/>
      </c>
      <c r="D2287">
        <f>J2286</f>
        <v/>
      </c>
      <c r="E2287">
        <f>IF(A2287="",0,D2287*C2287/100/(DATE(YEAR(A2287)+1,1,1)-DATE(YEAR(A2287),1,1)))</f>
        <v/>
      </c>
      <c r="F2287">
        <f>IF(A2287="",0,SUMIF(Rechner!$A$12:$A$21,A2287,Rechner!$B$12:$B$21))</f>
        <v/>
      </c>
      <c r="G2287">
        <f>H2286+E2287</f>
        <v/>
      </c>
      <c r="H2287">
        <f>G2287-MIN(F2287,G2287)</f>
        <v/>
      </c>
      <c r="I2287">
        <f>MIN(F2287-MIN(F2287,G2287),D2287)</f>
        <v/>
      </c>
      <c r="J2287">
        <f>D2287-I2287</f>
        <v/>
      </c>
      <c r="K2287">
        <f>F2287-MIN(F2287,G2287)-I2287</f>
        <v/>
      </c>
    </row>
    <row r="2288">
      <c r="A2288" s="21">
        <f>IF(Rechner!$E$4&lt;&gt;"ok","",IF(Rechner!$E$5+2286&lt;=Rechner!$B$6,Rechner!$E$5+2286,""))</f>
        <v/>
      </c>
      <c r="B2288">
        <f>IF(A2288="","",LOOKUP(A2288,Basiszins!$A$5:$A$18,Basiszins!$B$5:$B$18))</f>
        <v/>
      </c>
      <c r="C2288">
        <f>IF(A2288="","",B2288+Rechner!$E$7)</f>
        <v/>
      </c>
      <c r="D2288">
        <f>J2287</f>
        <v/>
      </c>
      <c r="E2288">
        <f>IF(A2288="",0,D2288*C2288/100/(DATE(YEAR(A2288)+1,1,1)-DATE(YEAR(A2288),1,1)))</f>
        <v/>
      </c>
      <c r="F2288">
        <f>IF(A2288="",0,SUMIF(Rechner!$A$12:$A$21,A2288,Rechner!$B$12:$B$21))</f>
        <v/>
      </c>
      <c r="G2288">
        <f>H2287+E2288</f>
        <v/>
      </c>
      <c r="H2288">
        <f>G2288-MIN(F2288,G2288)</f>
        <v/>
      </c>
      <c r="I2288">
        <f>MIN(F2288-MIN(F2288,G2288),D2288)</f>
        <v/>
      </c>
      <c r="J2288">
        <f>D2288-I2288</f>
        <v/>
      </c>
      <c r="K2288">
        <f>F2288-MIN(F2288,G2288)-I2288</f>
        <v/>
      </c>
    </row>
    <row r="2289">
      <c r="A2289" s="21">
        <f>IF(Rechner!$E$4&lt;&gt;"ok","",IF(Rechner!$E$5+2287&lt;=Rechner!$B$6,Rechner!$E$5+2287,""))</f>
        <v/>
      </c>
      <c r="B2289">
        <f>IF(A2289="","",LOOKUP(A2289,Basiszins!$A$5:$A$18,Basiszins!$B$5:$B$18))</f>
        <v/>
      </c>
      <c r="C2289">
        <f>IF(A2289="","",B2289+Rechner!$E$7)</f>
        <v/>
      </c>
      <c r="D2289">
        <f>J2288</f>
        <v/>
      </c>
      <c r="E2289">
        <f>IF(A2289="",0,D2289*C2289/100/(DATE(YEAR(A2289)+1,1,1)-DATE(YEAR(A2289),1,1)))</f>
        <v/>
      </c>
      <c r="F2289">
        <f>IF(A2289="",0,SUMIF(Rechner!$A$12:$A$21,A2289,Rechner!$B$12:$B$21))</f>
        <v/>
      </c>
      <c r="G2289">
        <f>H2288+E2289</f>
        <v/>
      </c>
      <c r="H2289">
        <f>G2289-MIN(F2289,G2289)</f>
        <v/>
      </c>
      <c r="I2289">
        <f>MIN(F2289-MIN(F2289,G2289),D2289)</f>
        <v/>
      </c>
      <c r="J2289">
        <f>D2289-I2289</f>
        <v/>
      </c>
      <c r="K2289">
        <f>F2289-MIN(F2289,G2289)-I2289</f>
        <v/>
      </c>
    </row>
    <row r="2290">
      <c r="A2290" s="21">
        <f>IF(Rechner!$E$4&lt;&gt;"ok","",IF(Rechner!$E$5+2288&lt;=Rechner!$B$6,Rechner!$E$5+2288,""))</f>
        <v/>
      </c>
      <c r="B2290">
        <f>IF(A2290="","",LOOKUP(A2290,Basiszins!$A$5:$A$18,Basiszins!$B$5:$B$18))</f>
        <v/>
      </c>
      <c r="C2290">
        <f>IF(A2290="","",B2290+Rechner!$E$7)</f>
        <v/>
      </c>
      <c r="D2290">
        <f>J2289</f>
        <v/>
      </c>
      <c r="E2290">
        <f>IF(A2290="",0,D2290*C2290/100/(DATE(YEAR(A2290)+1,1,1)-DATE(YEAR(A2290),1,1)))</f>
        <v/>
      </c>
      <c r="F2290">
        <f>IF(A2290="",0,SUMIF(Rechner!$A$12:$A$21,A2290,Rechner!$B$12:$B$21))</f>
        <v/>
      </c>
      <c r="G2290">
        <f>H2289+E2290</f>
        <v/>
      </c>
      <c r="H2290">
        <f>G2290-MIN(F2290,G2290)</f>
        <v/>
      </c>
      <c r="I2290">
        <f>MIN(F2290-MIN(F2290,G2290),D2290)</f>
        <v/>
      </c>
      <c r="J2290">
        <f>D2290-I2290</f>
        <v/>
      </c>
      <c r="K2290">
        <f>F2290-MIN(F2290,G2290)-I2290</f>
        <v/>
      </c>
    </row>
    <row r="2291">
      <c r="A2291" s="21">
        <f>IF(Rechner!$E$4&lt;&gt;"ok","",IF(Rechner!$E$5+2289&lt;=Rechner!$B$6,Rechner!$E$5+2289,""))</f>
        <v/>
      </c>
      <c r="B2291">
        <f>IF(A2291="","",LOOKUP(A2291,Basiszins!$A$5:$A$18,Basiszins!$B$5:$B$18))</f>
        <v/>
      </c>
      <c r="C2291">
        <f>IF(A2291="","",B2291+Rechner!$E$7)</f>
        <v/>
      </c>
      <c r="D2291">
        <f>J2290</f>
        <v/>
      </c>
      <c r="E2291">
        <f>IF(A2291="",0,D2291*C2291/100/(DATE(YEAR(A2291)+1,1,1)-DATE(YEAR(A2291),1,1)))</f>
        <v/>
      </c>
      <c r="F2291">
        <f>IF(A2291="",0,SUMIF(Rechner!$A$12:$A$21,A2291,Rechner!$B$12:$B$21))</f>
        <v/>
      </c>
      <c r="G2291">
        <f>H2290+E2291</f>
        <v/>
      </c>
      <c r="H2291">
        <f>G2291-MIN(F2291,G2291)</f>
        <v/>
      </c>
      <c r="I2291">
        <f>MIN(F2291-MIN(F2291,G2291),D2291)</f>
        <v/>
      </c>
      <c r="J2291">
        <f>D2291-I2291</f>
        <v/>
      </c>
      <c r="K2291">
        <f>F2291-MIN(F2291,G2291)-I2291</f>
        <v/>
      </c>
    </row>
    <row r="2292">
      <c r="A2292" s="21">
        <f>IF(Rechner!$E$4&lt;&gt;"ok","",IF(Rechner!$E$5+2290&lt;=Rechner!$B$6,Rechner!$E$5+2290,""))</f>
        <v/>
      </c>
      <c r="B2292">
        <f>IF(A2292="","",LOOKUP(A2292,Basiszins!$A$5:$A$18,Basiszins!$B$5:$B$18))</f>
        <v/>
      </c>
      <c r="C2292">
        <f>IF(A2292="","",B2292+Rechner!$E$7)</f>
        <v/>
      </c>
      <c r="D2292">
        <f>J2291</f>
        <v/>
      </c>
      <c r="E2292">
        <f>IF(A2292="",0,D2292*C2292/100/(DATE(YEAR(A2292)+1,1,1)-DATE(YEAR(A2292),1,1)))</f>
        <v/>
      </c>
      <c r="F2292">
        <f>IF(A2292="",0,SUMIF(Rechner!$A$12:$A$21,A2292,Rechner!$B$12:$B$21))</f>
        <v/>
      </c>
      <c r="G2292">
        <f>H2291+E2292</f>
        <v/>
      </c>
      <c r="H2292">
        <f>G2292-MIN(F2292,G2292)</f>
        <v/>
      </c>
      <c r="I2292">
        <f>MIN(F2292-MIN(F2292,G2292),D2292)</f>
        <v/>
      </c>
      <c r="J2292">
        <f>D2292-I2292</f>
        <v/>
      </c>
      <c r="K2292">
        <f>F2292-MIN(F2292,G2292)-I2292</f>
        <v/>
      </c>
    </row>
    <row r="2293">
      <c r="A2293" s="21">
        <f>IF(Rechner!$E$4&lt;&gt;"ok","",IF(Rechner!$E$5+2291&lt;=Rechner!$B$6,Rechner!$E$5+2291,""))</f>
        <v/>
      </c>
      <c r="B2293">
        <f>IF(A2293="","",LOOKUP(A2293,Basiszins!$A$5:$A$18,Basiszins!$B$5:$B$18))</f>
        <v/>
      </c>
      <c r="C2293">
        <f>IF(A2293="","",B2293+Rechner!$E$7)</f>
        <v/>
      </c>
      <c r="D2293">
        <f>J2292</f>
        <v/>
      </c>
      <c r="E2293">
        <f>IF(A2293="",0,D2293*C2293/100/(DATE(YEAR(A2293)+1,1,1)-DATE(YEAR(A2293),1,1)))</f>
        <v/>
      </c>
      <c r="F2293">
        <f>IF(A2293="",0,SUMIF(Rechner!$A$12:$A$21,A2293,Rechner!$B$12:$B$21))</f>
        <v/>
      </c>
      <c r="G2293">
        <f>H2292+E2293</f>
        <v/>
      </c>
      <c r="H2293">
        <f>G2293-MIN(F2293,G2293)</f>
        <v/>
      </c>
      <c r="I2293">
        <f>MIN(F2293-MIN(F2293,G2293),D2293)</f>
        <v/>
      </c>
      <c r="J2293">
        <f>D2293-I2293</f>
        <v/>
      </c>
      <c r="K2293">
        <f>F2293-MIN(F2293,G2293)-I2293</f>
        <v/>
      </c>
    </row>
    <row r="2294">
      <c r="A2294" s="21">
        <f>IF(Rechner!$E$4&lt;&gt;"ok","",IF(Rechner!$E$5+2292&lt;=Rechner!$B$6,Rechner!$E$5+2292,""))</f>
        <v/>
      </c>
      <c r="B2294">
        <f>IF(A2294="","",LOOKUP(A2294,Basiszins!$A$5:$A$18,Basiszins!$B$5:$B$18))</f>
        <v/>
      </c>
      <c r="C2294">
        <f>IF(A2294="","",B2294+Rechner!$E$7)</f>
        <v/>
      </c>
      <c r="D2294">
        <f>J2293</f>
        <v/>
      </c>
      <c r="E2294">
        <f>IF(A2294="",0,D2294*C2294/100/(DATE(YEAR(A2294)+1,1,1)-DATE(YEAR(A2294),1,1)))</f>
        <v/>
      </c>
      <c r="F2294">
        <f>IF(A2294="",0,SUMIF(Rechner!$A$12:$A$21,A2294,Rechner!$B$12:$B$21))</f>
        <v/>
      </c>
      <c r="G2294">
        <f>H2293+E2294</f>
        <v/>
      </c>
      <c r="H2294">
        <f>G2294-MIN(F2294,G2294)</f>
        <v/>
      </c>
      <c r="I2294">
        <f>MIN(F2294-MIN(F2294,G2294),D2294)</f>
        <v/>
      </c>
      <c r="J2294">
        <f>D2294-I2294</f>
        <v/>
      </c>
      <c r="K2294">
        <f>F2294-MIN(F2294,G2294)-I2294</f>
        <v/>
      </c>
    </row>
    <row r="2295">
      <c r="A2295" s="21">
        <f>IF(Rechner!$E$4&lt;&gt;"ok","",IF(Rechner!$E$5+2293&lt;=Rechner!$B$6,Rechner!$E$5+2293,""))</f>
        <v/>
      </c>
      <c r="B2295">
        <f>IF(A2295="","",LOOKUP(A2295,Basiszins!$A$5:$A$18,Basiszins!$B$5:$B$18))</f>
        <v/>
      </c>
      <c r="C2295">
        <f>IF(A2295="","",B2295+Rechner!$E$7)</f>
        <v/>
      </c>
      <c r="D2295">
        <f>J2294</f>
        <v/>
      </c>
      <c r="E2295">
        <f>IF(A2295="",0,D2295*C2295/100/(DATE(YEAR(A2295)+1,1,1)-DATE(YEAR(A2295),1,1)))</f>
        <v/>
      </c>
      <c r="F2295">
        <f>IF(A2295="",0,SUMIF(Rechner!$A$12:$A$21,A2295,Rechner!$B$12:$B$21))</f>
        <v/>
      </c>
      <c r="G2295">
        <f>H2294+E2295</f>
        <v/>
      </c>
      <c r="H2295">
        <f>G2295-MIN(F2295,G2295)</f>
        <v/>
      </c>
      <c r="I2295">
        <f>MIN(F2295-MIN(F2295,G2295),D2295)</f>
        <v/>
      </c>
      <c r="J2295">
        <f>D2295-I2295</f>
        <v/>
      </c>
      <c r="K2295">
        <f>F2295-MIN(F2295,G2295)-I2295</f>
        <v/>
      </c>
    </row>
    <row r="2296">
      <c r="A2296" s="21">
        <f>IF(Rechner!$E$4&lt;&gt;"ok","",IF(Rechner!$E$5+2294&lt;=Rechner!$B$6,Rechner!$E$5+2294,""))</f>
        <v/>
      </c>
      <c r="B2296">
        <f>IF(A2296="","",LOOKUP(A2296,Basiszins!$A$5:$A$18,Basiszins!$B$5:$B$18))</f>
        <v/>
      </c>
      <c r="C2296">
        <f>IF(A2296="","",B2296+Rechner!$E$7)</f>
        <v/>
      </c>
      <c r="D2296">
        <f>J2295</f>
        <v/>
      </c>
      <c r="E2296">
        <f>IF(A2296="",0,D2296*C2296/100/(DATE(YEAR(A2296)+1,1,1)-DATE(YEAR(A2296),1,1)))</f>
        <v/>
      </c>
      <c r="F2296">
        <f>IF(A2296="",0,SUMIF(Rechner!$A$12:$A$21,A2296,Rechner!$B$12:$B$21))</f>
        <v/>
      </c>
      <c r="G2296">
        <f>H2295+E2296</f>
        <v/>
      </c>
      <c r="H2296">
        <f>G2296-MIN(F2296,G2296)</f>
        <v/>
      </c>
      <c r="I2296">
        <f>MIN(F2296-MIN(F2296,G2296),D2296)</f>
        <v/>
      </c>
      <c r="J2296">
        <f>D2296-I2296</f>
        <v/>
      </c>
      <c r="K2296">
        <f>F2296-MIN(F2296,G2296)-I2296</f>
        <v/>
      </c>
    </row>
    <row r="2297">
      <c r="A2297" s="21">
        <f>IF(Rechner!$E$4&lt;&gt;"ok","",IF(Rechner!$E$5+2295&lt;=Rechner!$B$6,Rechner!$E$5+2295,""))</f>
        <v/>
      </c>
      <c r="B2297">
        <f>IF(A2297="","",LOOKUP(A2297,Basiszins!$A$5:$A$18,Basiszins!$B$5:$B$18))</f>
        <v/>
      </c>
      <c r="C2297">
        <f>IF(A2297="","",B2297+Rechner!$E$7)</f>
        <v/>
      </c>
      <c r="D2297">
        <f>J2296</f>
        <v/>
      </c>
      <c r="E2297">
        <f>IF(A2297="",0,D2297*C2297/100/(DATE(YEAR(A2297)+1,1,1)-DATE(YEAR(A2297),1,1)))</f>
        <v/>
      </c>
      <c r="F2297">
        <f>IF(A2297="",0,SUMIF(Rechner!$A$12:$A$21,A2297,Rechner!$B$12:$B$21))</f>
        <v/>
      </c>
      <c r="G2297">
        <f>H2296+E2297</f>
        <v/>
      </c>
      <c r="H2297">
        <f>G2297-MIN(F2297,G2297)</f>
        <v/>
      </c>
      <c r="I2297">
        <f>MIN(F2297-MIN(F2297,G2297),D2297)</f>
        <v/>
      </c>
      <c r="J2297">
        <f>D2297-I2297</f>
        <v/>
      </c>
      <c r="K2297">
        <f>F2297-MIN(F2297,G2297)-I2297</f>
        <v/>
      </c>
    </row>
    <row r="2298">
      <c r="A2298" s="21">
        <f>IF(Rechner!$E$4&lt;&gt;"ok","",IF(Rechner!$E$5+2296&lt;=Rechner!$B$6,Rechner!$E$5+2296,""))</f>
        <v/>
      </c>
      <c r="B2298">
        <f>IF(A2298="","",LOOKUP(A2298,Basiszins!$A$5:$A$18,Basiszins!$B$5:$B$18))</f>
        <v/>
      </c>
      <c r="C2298">
        <f>IF(A2298="","",B2298+Rechner!$E$7)</f>
        <v/>
      </c>
      <c r="D2298">
        <f>J2297</f>
        <v/>
      </c>
      <c r="E2298">
        <f>IF(A2298="",0,D2298*C2298/100/(DATE(YEAR(A2298)+1,1,1)-DATE(YEAR(A2298),1,1)))</f>
        <v/>
      </c>
      <c r="F2298">
        <f>IF(A2298="",0,SUMIF(Rechner!$A$12:$A$21,A2298,Rechner!$B$12:$B$21))</f>
        <v/>
      </c>
      <c r="G2298">
        <f>H2297+E2298</f>
        <v/>
      </c>
      <c r="H2298">
        <f>G2298-MIN(F2298,G2298)</f>
        <v/>
      </c>
      <c r="I2298">
        <f>MIN(F2298-MIN(F2298,G2298),D2298)</f>
        <v/>
      </c>
      <c r="J2298">
        <f>D2298-I2298</f>
        <v/>
      </c>
      <c r="K2298">
        <f>F2298-MIN(F2298,G2298)-I2298</f>
        <v/>
      </c>
    </row>
    <row r="2299">
      <c r="A2299" s="21">
        <f>IF(Rechner!$E$4&lt;&gt;"ok","",IF(Rechner!$E$5+2297&lt;=Rechner!$B$6,Rechner!$E$5+2297,""))</f>
        <v/>
      </c>
      <c r="B2299">
        <f>IF(A2299="","",LOOKUP(A2299,Basiszins!$A$5:$A$18,Basiszins!$B$5:$B$18))</f>
        <v/>
      </c>
      <c r="C2299">
        <f>IF(A2299="","",B2299+Rechner!$E$7)</f>
        <v/>
      </c>
      <c r="D2299">
        <f>J2298</f>
        <v/>
      </c>
      <c r="E2299">
        <f>IF(A2299="",0,D2299*C2299/100/(DATE(YEAR(A2299)+1,1,1)-DATE(YEAR(A2299),1,1)))</f>
        <v/>
      </c>
      <c r="F2299">
        <f>IF(A2299="",0,SUMIF(Rechner!$A$12:$A$21,A2299,Rechner!$B$12:$B$21))</f>
        <v/>
      </c>
      <c r="G2299">
        <f>H2298+E2299</f>
        <v/>
      </c>
      <c r="H2299">
        <f>G2299-MIN(F2299,G2299)</f>
        <v/>
      </c>
      <c r="I2299">
        <f>MIN(F2299-MIN(F2299,G2299),D2299)</f>
        <v/>
      </c>
      <c r="J2299">
        <f>D2299-I2299</f>
        <v/>
      </c>
      <c r="K2299">
        <f>F2299-MIN(F2299,G2299)-I2299</f>
        <v/>
      </c>
    </row>
    <row r="2300">
      <c r="A2300" s="21">
        <f>IF(Rechner!$E$4&lt;&gt;"ok","",IF(Rechner!$E$5+2298&lt;=Rechner!$B$6,Rechner!$E$5+2298,""))</f>
        <v/>
      </c>
      <c r="B2300">
        <f>IF(A2300="","",LOOKUP(A2300,Basiszins!$A$5:$A$18,Basiszins!$B$5:$B$18))</f>
        <v/>
      </c>
      <c r="C2300">
        <f>IF(A2300="","",B2300+Rechner!$E$7)</f>
        <v/>
      </c>
      <c r="D2300">
        <f>J2299</f>
        <v/>
      </c>
      <c r="E2300">
        <f>IF(A2300="",0,D2300*C2300/100/(DATE(YEAR(A2300)+1,1,1)-DATE(YEAR(A2300),1,1)))</f>
        <v/>
      </c>
      <c r="F2300">
        <f>IF(A2300="",0,SUMIF(Rechner!$A$12:$A$21,A2300,Rechner!$B$12:$B$21))</f>
        <v/>
      </c>
      <c r="G2300">
        <f>H2299+E2300</f>
        <v/>
      </c>
      <c r="H2300">
        <f>G2300-MIN(F2300,G2300)</f>
        <v/>
      </c>
      <c r="I2300">
        <f>MIN(F2300-MIN(F2300,G2300),D2300)</f>
        <v/>
      </c>
      <c r="J2300">
        <f>D2300-I2300</f>
        <v/>
      </c>
      <c r="K2300">
        <f>F2300-MIN(F2300,G2300)-I2300</f>
        <v/>
      </c>
    </row>
    <row r="2301">
      <c r="A2301" s="21">
        <f>IF(Rechner!$E$4&lt;&gt;"ok","",IF(Rechner!$E$5+2299&lt;=Rechner!$B$6,Rechner!$E$5+2299,""))</f>
        <v/>
      </c>
      <c r="B2301">
        <f>IF(A2301="","",LOOKUP(A2301,Basiszins!$A$5:$A$18,Basiszins!$B$5:$B$18))</f>
        <v/>
      </c>
      <c r="C2301">
        <f>IF(A2301="","",B2301+Rechner!$E$7)</f>
        <v/>
      </c>
      <c r="D2301">
        <f>J2300</f>
        <v/>
      </c>
      <c r="E2301">
        <f>IF(A2301="",0,D2301*C2301/100/(DATE(YEAR(A2301)+1,1,1)-DATE(YEAR(A2301),1,1)))</f>
        <v/>
      </c>
      <c r="F2301">
        <f>IF(A2301="",0,SUMIF(Rechner!$A$12:$A$21,A2301,Rechner!$B$12:$B$21))</f>
        <v/>
      </c>
      <c r="G2301">
        <f>H2300+E2301</f>
        <v/>
      </c>
      <c r="H2301">
        <f>G2301-MIN(F2301,G2301)</f>
        <v/>
      </c>
      <c r="I2301">
        <f>MIN(F2301-MIN(F2301,G2301),D2301)</f>
        <v/>
      </c>
      <c r="J2301">
        <f>D2301-I2301</f>
        <v/>
      </c>
      <c r="K2301">
        <f>F2301-MIN(F2301,G2301)-I2301</f>
        <v/>
      </c>
    </row>
    <row r="2302">
      <c r="A2302" s="21">
        <f>IF(Rechner!$E$4&lt;&gt;"ok","",IF(Rechner!$E$5+2300&lt;=Rechner!$B$6,Rechner!$E$5+2300,""))</f>
        <v/>
      </c>
      <c r="B2302">
        <f>IF(A2302="","",LOOKUP(A2302,Basiszins!$A$5:$A$18,Basiszins!$B$5:$B$18))</f>
        <v/>
      </c>
      <c r="C2302">
        <f>IF(A2302="","",B2302+Rechner!$E$7)</f>
        <v/>
      </c>
      <c r="D2302">
        <f>J2301</f>
        <v/>
      </c>
      <c r="E2302">
        <f>IF(A2302="",0,D2302*C2302/100/(DATE(YEAR(A2302)+1,1,1)-DATE(YEAR(A2302),1,1)))</f>
        <v/>
      </c>
      <c r="F2302">
        <f>IF(A2302="",0,SUMIF(Rechner!$A$12:$A$21,A2302,Rechner!$B$12:$B$21))</f>
        <v/>
      </c>
      <c r="G2302">
        <f>H2301+E2302</f>
        <v/>
      </c>
      <c r="H2302">
        <f>G2302-MIN(F2302,G2302)</f>
        <v/>
      </c>
      <c r="I2302">
        <f>MIN(F2302-MIN(F2302,G2302),D2302)</f>
        <v/>
      </c>
      <c r="J2302">
        <f>D2302-I2302</f>
        <v/>
      </c>
      <c r="K2302">
        <f>F2302-MIN(F2302,G2302)-I2302</f>
        <v/>
      </c>
    </row>
    <row r="2303">
      <c r="A2303" s="21">
        <f>IF(Rechner!$E$4&lt;&gt;"ok","",IF(Rechner!$E$5+2301&lt;=Rechner!$B$6,Rechner!$E$5+2301,""))</f>
        <v/>
      </c>
      <c r="B2303">
        <f>IF(A2303="","",LOOKUP(A2303,Basiszins!$A$5:$A$18,Basiszins!$B$5:$B$18))</f>
        <v/>
      </c>
      <c r="C2303">
        <f>IF(A2303="","",B2303+Rechner!$E$7)</f>
        <v/>
      </c>
      <c r="D2303">
        <f>J2302</f>
        <v/>
      </c>
      <c r="E2303">
        <f>IF(A2303="",0,D2303*C2303/100/(DATE(YEAR(A2303)+1,1,1)-DATE(YEAR(A2303),1,1)))</f>
        <v/>
      </c>
      <c r="F2303">
        <f>IF(A2303="",0,SUMIF(Rechner!$A$12:$A$21,A2303,Rechner!$B$12:$B$21))</f>
        <v/>
      </c>
      <c r="G2303">
        <f>H2302+E2303</f>
        <v/>
      </c>
      <c r="H2303">
        <f>G2303-MIN(F2303,G2303)</f>
        <v/>
      </c>
      <c r="I2303">
        <f>MIN(F2303-MIN(F2303,G2303),D2303)</f>
        <v/>
      </c>
      <c r="J2303">
        <f>D2303-I2303</f>
        <v/>
      </c>
      <c r="K2303">
        <f>F2303-MIN(F2303,G2303)-I2303</f>
        <v/>
      </c>
    </row>
    <row r="2304">
      <c r="A2304" s="21">
        <f>IF(Rechner!$E$4&lt;&gt;"ok","",IF(Rechner!$E$5+2302&lt;=Rechner!$B$6,Rechner!$E$5+2302,""))</f>
        <v/>
      </c>
      <c r="B2304">
        <f>IF(A2304="","",LOOKUP(A2304,Basiszins!$A$5:$A$18,Basiszins!$B$5:$B$18))</f>
        <v/>
      </c>
      <c r="C2304">
        <f>IF(A2304="","",B2304+Rechner!$E$7)</f>
        <v/>
      </c>
      <c r="D2304">
        <f>J2303</f>
        <v/>
      </c>
      <c r="E2304">
        <f>IF(A2304="",0,D2304*C2304/100/(DATE(YEAR(A2304)+1,1,1)-DATE(YEAR(A2304),1,1)))</f>
        <v/>
      </c>
      <c r="F2304">
        <f>IF(A2304="",0,SUMIF(Rechner!$A$12:$A$21,A2304,Rechner!$B$12:$B$21))</f>
        <v/>
      </c>
      <c r="G2304">
        <f>H2303+E2304</f>
        <v/>
      </c>
      <c r="H2304">
        <f>G2304-MIN(F2304,G2304)</f>
        <v/>
      </c>
      <c r="I2304">
        <f>MIN(F2304-MIN(F2304,G2304),D2304)</f>
        <v/>
      </c>
      <c r="J2304">
        <f>D2304-I2304</f>
        <v/>
      </c>
      <c r="K2304">
        <f>F2304-MIN(F2304,G2304)-I2304</f>
        <v/>
      </c>
    </row>
    <row r="2305">
      <c r="A2305" s="21">
        <f>IF(Rechner!$E$4&lt;&gt;"ok","",IF(Rechner!$E$5+2303&lt;=Rechner!$B$6,Rechner!$E$5+2303,""))</f>
        <v/>
      </c>
      <c r="B2305">
        <f>IF(A2305="","",LOOKUP(A2305,Basiszins!$A$5:$A$18,Basiszins!$B$5:$B$18))</f>
        <v/>
      </c>
      <c r="C2305">
        <f>IF(A2305="","",B2305+Rechner!$E$7)</f>
        <v/>
      </c>
      <c r="D2305">
        <f>J2304</f>
        <v/>
      </c>
      <c r="E2305">
        <f>IF(A2305="",0,D2305*C2305/100/(DATE(YEAR(A2305)+1,1,1)-DATE(YEAR(A2305),1,1)))</f>
        <v/>
      </c>
      <c r="F2305">
        <f>IF(A2305="",0,SUMIF(Rechner!$A$12:$A$21,A2305,Rechner!$B$12:$B$21))</f>
        <v/>
      </c>
      <c r="G2305">
        <f>H2304+E2305</f>
        <v/>
      </c>
      <c r="H2305">
        <f>G2305-MIN(F2305,G2305)</f>
        <v/>
      </c>
      <c r="I2305">
        <f>MIN(F2305-MIN(F2305,G2305),D2305)</f>
        <v/>
      </c>
      <c r="J2305">
        <f>D2305-I2305</f>
        <v/>
      </c>
      <c r="K2305">
        <f>F2305-MIN(F2305,G2305)-I2305</f>
        <v/>
      </c>
    </row>
    <row r="2306">
      <c r="A2306" s="21">
        <f>IF(Rechner!$E$4&lt;&gt;"ok","",IF(Rechner!$E$5+2304&lt;=Rechner!$B$6,Rechner!$E$5+2304,""))</f>
        <v/>
      </c>
      <c r="B2306">
        <f>IF(A2306="","",LOOKUP(A2306,Basiszins!$A$5:$A$18,Basiszins!$B$5:$B$18))</f>
        <v/>
      </c>
      <c r="C2306">
        <f>IF(A2306="","",B2306+Rechner!$E$7)</f>
        <v/>
      </c>
      <c r="D2306">
        <f>J2305</f>
        <v/>
      </c>
      <c r="E2306">
        <f>IF(A2306="",0,D2306*C2306/100/(DATE(YEAR(A2306)+1,1,1)-DATE(YEAR(A2306),1,1)))</f>
        <v/>
      </c>
      <c r="F2306">
        <f>IF(A2306="",0,SUMIF(Rechner!$A$12:$A$21,A2306,Rechner!$B$12:$B$21))</f>
        <v/>
      </c>
      <c r="G2306">
        <f>H2305+E2306</f>
        <v/>
      </c>
      <c r="H2306">
        <f>G2306-MIN(F2306,G2306)</f>
        <v/>
      </c>
      <c r="I2306">
        <f>MIN(F2306-MIN(F2306,G2306),D2306)</f>
        <v/>
      </c>
      <c r="J2306">
        <f>D2306-I2306</f>
        <v/>
      </c>
      <c r="K2306">
        <f>F2306-MIN(F2306,G2306)-I2306</f>
        <v/>
      </c>
    </row>
    <row r="2307">
      <c r="A2307" s="21">
        <f>IF(Rechner!$E$4&lt;&gt;"ok","",IF(Rechner!$E$5+2305&lt;=Rechner!$B$6,Rechner!$E$5+2305,""))</f>
        <v/>
      </c>
      <c r="B2307">
        <f>IF(A2307="","",LOOKUP(A2307,Basiszins!$A$5:$A$18,Basiszins!$B$5:$B$18))</f>
        <v/>
      </c>
      <c r="C2307">
        <f>IF(A2307="","",B2307+Rechner!$E$7)</f>
        <v/>
      </c>
      <c r="D2307">
        <f>J2306</f>
        <v/>
      </c>
      <c r="E2307">
        <f>IF(A2307="",0,D2307*C2307/100/(DATE(YEAR(A2307)+1,1,1)-DATE(YEAR(A2307),1,1)))</f>
        <v/>
      </c>
      <c r="F2307">
        <f>IF(A2307="",0,SUMIF(Rechner!$A$12:$A$21,A2307,Rechner!$B$12:$B$21))</f>
        <v/>
      </c>
      <c r="G2307">
        <f>H2306+E2307</f>
        <v/>
      </c>
      <c r="H2307">
        <f>G2307-MIN(F2307,G2307)</f>
        <v/>
      </c>
      <c r="I2307">
        <f>MIN(F2307-MIN(F2307,G2307),D2307)</f>
        <v/>
      </c>
      <c r="J2307">
        <f>D2307-I2307</f>
        <v/>
      </c>
      <c r="K2307">
        <f>F2307-MIN(F2307,G2307)-I2307</f>
        <v/>
      </c>
    </row>
    <row r="2308">
      <c r="A2308" s="21">
        <f>IF(Rechner!$E$4&lt;&gt;"ok","",IF(Rechner!$E$5+2306&lt;=Rechner!$B$6,Rechner!$E$5+2306,""))</f>
        <v/>
      </c>
      <c r="B2308">
        <f>IF(A2308="","",LOOKUP(A2308,Basiszins!$A$5:$A$18,Basiszins!$B$5:$B$18))</f>
        <v/>
      </c>
      <c r="C2308">
        <f>IF(A2308="","",B2308+Rechner!$E$7)</f>
        <v/>
      </c>
      <c r="D2308">
        <f>J2307</f>
        <v/>
      </c>
      <c r="E2308">
        <f>IF(A2308="",0,D2308*C2308/100/(DATE(YEAR(A2308)+1,1,1)-DATE(YEAR(A2308),1,1)))</f>
        <v/>
      </c>
      <c r="F2308">
        <f>IF(A2308="",0,SUMIF(Rechner!$A$12:$A$21,A2308,Rechner!$B$12:$B$21))</f>
        <v/>
      </c>
      <c r="G2308">
        <f>H2307+E2308</f>
        <v/>
      </c>
      <c r="H2308">
        <f>G2308-MIN(F2308,G2308)</f>
        <v/>
      </c>
      <c r="I2308">
        <f>MIN(F2308-MIN(F2308,G2308),D2308)</f>
        <v/>
      </c>
      <c r="J2308">
        <f>D2308-I2308</f>
        <v/>
      </c>
      <c r="K2308">
        <f>F2308-MIN(F2308,G2308)-I2308</f>
        <v/>
      </c>
    </row>
    <row r="2309">
      <c r="A2309" s="21">
        <f>IF(Rechner!$E$4&lt;&gt;"ok","",IF(Rechner!$E$5+2307&lt;=Rechner!$B$6,Rechner!$E$5+2307,""))</f>
        <v/>
      </c>
      <c r="B2309">
        <f>IF(A2309="","",LOOKUP(A2309,Basiszins!$A$5:$A$18,Basiszins!$B$5:$B$18))</f>
        <v/>
      </c>
      <c r="C2309">
        <f>IF(A2309="","",B2309+Rechner!$E$7)</f>
        <v/>
      </c>
      <c r="D2309">
        <f>J2308</f>
        <v/>
      </c>
      <c r="E2309">
        <f>IF(A2309="",0,D2309*C2309/100/(DATE(YEAR(A2309)+1,1,1)-DATE(YEAR(A2309),1,1)))</f>
        <v/>
      </c>
      <c r="F2309">
        <f>IF(A2309="",0,SUMIF(Rechner!$A$12:$A$21,A2309,Rechner!$B$12:$B$21))</f>
        <v/>
      </c>
      <c r="G2309">
        <f>H2308+E2309</f>
        <v/>
      </c>
      <c r="H2309">
        <f>G2309-MIN(F2309,G2309)</f>
        <v/>
      </c>
      <c r="I2309">
        <f>MIN(F2309-MIN(F2309,G2309),D2309)</f>
        <v/>
      </c>
      <c r="J2309">
        <f>D2309-I2309</f>
        <v/>
      </c>
      <c r="K2309">
        <f>F2309-MIN(F2309,G2309)-I2309</f>
        <v/>
      </c>
    </row>
    <row r="2310">
      <c r="A2310" s="21">
        <f>IF(Rechner!$E$4&lt;&gt;"ok","",IF(Rechner!$E$5+2308&lt;=Rechner!$B$6,Rechner!$E$5+2308,""))</f>
        <v/>
      </c>
      <c r="B2310">
        <f>IF(A2310="","",LOOKUP(A2310,Basiszins!$A$5:$A$18,Basiszins!$B$5:$B$18))</f>
        <v/>
      </c>
      <c r="C2310">
        <f>IF(A2310="","",B2310+Rechner!$E$7)</f>
        <v/>
      </c>
      <c r="D2310">
        <f>J2309</f>
        <v/>
      </c>
      <c r="E2310">
        <f>IF(A2310="",0,D2310*C2310/100/(DATE(YEAR(A2310)+1,1,1)-DATE(YEAR(A2310),1,1)))</f>
        <v/>
      </c>
      <c r="F2310">
        <f>IF(A2310="",0,SUMIF(Rechner!$A$12:$A$21,A2310,Rechner!$B$12:$B$21))</f>
        <v/>
      </c>
      <c r="G2310">
        <f>H2309+E2310</f>
        <v/>
      </c>
      <c r="H2310">
        <f>G2310-MIN(F2310,G2310)</f>
        <v/>
      </c>
      <c r="I2310">
        <f>MIN(F2310-MIN(F2310,G2310),D2310)</f>
        <v/>
      </c>
      <c r="J2310">
        <f>D2310-I2310</f>
        <v/>
      </c>
      <c r="K2310">
        <f>F2310-MIN(F2310,G2310)-I2310</f>
        <v/>
      </c>
    </row>
    <row r="2311">
      <c r="A2311" s="21">
        <f>IF(Rechner!$E$4&lt;&gt;"ok","",IF(Rechner!$E$5+2309&lt;=Rechner!$B$6,Rechner!$E$5+2309,""))</f>
        <v/>
      </c>
      <c r="B2311">
        <f>IF(A2311="","",LOOKUP(A2311,Basiszins!$A$5:$A$18,Basiszins!$B$5:$B$18))</f>
        <v/>
      </c>
      <c r="C2311">
        <f>IF(A2311="","",B2311+Rechner!$E$7)</f>
        <v/>
      </c>
      <c r="D2311">
        <f>J2310</f>
        <v/>
      </c>
      <c r="E2311">
        <f>IF(A2311="",0,D2311*C2311/100/(DATE(YEAR(A2311)+1,1,1)-DATE(YEAR(A2311),1,1)))</f>
        <v/>
      </c>
      <c r="F2311">
        <f>IF(A2311="",0,SUMIF(Rechner!$A$12:$A$21,A2311,Rechner!$B$12:$B$21))</f>
        <v/>
      </c>
      <c r="G2311">
        <f>H2310+E2311</f>
        <v/>
      </c>
      <c r="H2311">
        <f>G2311-MIN(F2311,G2311)</f>
        <v/>
      </c>
      <c r="I2311">
        <f>MIN(F2311-MIN(F2311,G2311),D2311)</f>
        <v/>
      </c>
      <c r="J2311">
        <f>D2311-I2311</f>
        <v/>
      </c>
      <c r="K2311">
        <f>F2311-MIN(F2311,G2311)-I2311</f>
        <v/>
      </c>
    </row>
    <row r="2312">
      <c r="A2312" s="21">
        <f>IF(Rechner!$E$4&lt;&gt;"ok","",IF(Rechner!$E$5+2310&lt;=Rechner!$B$6,Rechner!$E$5+2310,""))</f>
        <v/>
      </c>
      <c r="B2312">
        <f>IF(A2312="","",LOOKUP(A2312,Basiszins!$A$5:$A$18,Basiszins!$B$5:$B$18))</f>
        <v/>
      </c>
      <c r="C2312">
        <f>IF(A2312="","",B2312+Rechner!$E$7)</f>
        <v/>
      </c>
      <c r="D2312">
        <f>J2311</f>
        <v/>
      </c>
      <c r="E2312">
        <f>IF(A2312="",0,D2312*C2312/100/(DATE(YEAR(A2312)+1,1,1)-DATE(YEAR(A2312),1,1)))</f>
        <v/>
      </c>
      <c r="F2312">
        <f>IF(A2312="",0,SUMIF(Rechner!$A$12:$A$21,A2312,Rechner!$B$12:$B$21))</f>
        <v/>
      </c>
      <c r="G2312">
        <f>H2311+E2312</f>
        <v/>
      </c>
      <c r="H2312">
        <f>G2312-MIN(F2312,G2312)</f>
        <v/>
      </c>
      <c r="I2312">
        <f>MIN(F2312-MIN(F2312,G2312),D2312)</f>
        <v/>
      </c>
      <c r="J2312">
        <f>D2312-I2312</f>
        <v/>
      </c>
      <c r="K2312">
        <f>F2312-MIN(F2312,G2312)-I2312</f>
        <v/>
      </c>
    </row>
    <row r="2313">
      <c r="A2313" s="21">
        <f>IF(Rechner!$E$4&lt;&gt;"ok","",IF(Rechner!$E$5+2311&lt;=Rechner!$B$6,Rechner!$E$5+2311,""))</f>
        <v/>
      </c>
      <c r="B2313">
        <f>IF(A2313="","",LOOKUP(A2313,Basiszins!$A$5:$A$18,Basiszins!$B$5:$B$18))</f>
        <v/>
      </c>
      <c r="C2313">
        <f>IF(A2313="","",B2313+Rechner!$E$7)</f>
        <v/>
      </c>
      <c r="D2313">
        <f>J2312</f>
        <v/>
      </c>
      <c r="E2313">
        <f>IF(A2313="",0,D2313*C2313/100/(DATE(YEAR(A2313)+1,1,1)-DATE(YEAR(A2313),1,1)))</f>
        <v/>
      </c>
      <c r="F2313">
        <f>IF(A2313="",0,SUMIF(Rechner!$A$12:$A$21,A2313,Rechner!$B$12:$B$21))</f>
        <v/>
      </c>
      <c r="G2313">
        <f>H2312+E2313</f>
        <v/>
      </c>
      <c r="H2313">
        <f>G2313-MIN(F2313,G2313)</f>
        <v/>
      </c>
      <c r="I2313">
        <f>MIN(F2313-MIN(F2313,G2313),D2313)</f>
        <v/>
      </c>
      <c r="J2313">
        <f>D2313-I2313</f>
        <v/>
      </c>
      <c r="K2313">
        <f>F2313-MIN(F2313,G2313)-I2313</f>
        <v/>
      </c>
    </row>
    <row r="2314">
      <c r="A2314" s="21">
        <f>IF(Rechner!$E$4&lt;&gt;"ok","",IF(Rechner!$E$5+2312&lt;=Rechner!$B$6,Rechner!$E$5+2312,""))</f>
        <v/>
      </c>
      <c r="B2314">
        <f>IF(A2314="","",LOOKUP(A2314,Basiszins!$A$5:$A$18,Basiszins!$B$5:$B$18))</f>
        <v/>
      </c>
      <c r="C2314">
        <f>IF(A2314="","",B2314+Rechner!$E$7)</f>
        <v/>
      </c>
      <c r="D2314">
        <f>J2313</f>
        <v/>
      </c>
      <c r="E2314">
        <f>IF(A2314="",0,D2314*C2314/100/(DATE(YEAR(A2314)+1,1,1)-DATE(YEAR(A2314),1,1)))</f>
        <v/>
      </c>
      <c r="F2314">
        <f>IF(A2314="",0,SUMIF(Rechner!$A$12:$A$21,A2314,Rechner!$B$12:$B$21))</f>
        <v/>
      </c>
      <c r="G2314">
        <f>H2313+E2314</f>
        <v/>
      </c>
      <c r="H2314">
        <f>G2314-MIN(F2314,G2314)</f>
        <v/>
      </c>
      <c r="I2314">
        <f>MIN(F2314-MIN(F2314,G2314),D2314)</f>
        <v/>
      </c>
      <c r="J2314">
        <f>D2314-I2314</f>
        <v/>
      </c>
      <c r="K2314">
        <f>F2314-MIN(F2314,G2314)-I2314</f>
        <v/>
      </c>
    </row>
    <row r="2315">
      <c r="A2315" s="21">
        <f>IF(Rechner!$E$4&lt;&gt;"ok","",IF(Rechner!$E$5+2313&lt;=Rechner!$B$6,Rechner!$E$5+2313,""))</f>
        <v/>
      </c>
      <c r="B2315">
        <f>IF(A2315="","",LOOKUP(A2315,Basiszins!$A$5:$A$18,Basiszins!$B$5:$B$18))</f>
        <v/>
      </c>
      <c r="C2315">
        <f>IF(A2315="","",B2315+Rechner!$E$7)</f>
        <v/>
      </c>
      <c r="D2315">
        <f>J2314</f>
        <v/>
      </c>
      <c r="E2315">
        <f>IF(A2315="",0,D2315*C2315/100/(DATE(YEAR(A2315)+1,1,1)-DATE(YEAR(A2315),1,1)))</f>
        <v/>
      </c>
      <c r="F2315">
        <f>IF(A2315="",0,SUMIF(Rechner!$A$12:$A$21,A2315,Rechner!$B$12:$B$21))</f>
        <v/>
      </c>
      <c r="G2315">
        <f>H2314+E2315</f>
        <v/>
      </c>
      <c r="H2315">
        <f>G2315-MIN(F2315,G2315)</f>
        <v/>
      </c>
      <c r="I2315">
        <f>MIN(F2315-MIN(F2315,G2315),D2315)</f>
        <v/>
      </c>
      <c r="J2315">
        <f>D2315-I2315</f>
        <v/>
      </c>
      <c r="K2315">
        <f>F2315-MIN(F2315,G2315)-I2315</f>
        <v/>
      </c>
    </row>
    <row r="2316">
      <c r="A2316" s="21">
        <f>IF(Rechner!$E$4&lt;&gt;"ok","",IF(Rechner!$E$5+2314&lt;=Rechner!$B$6,Rechner!$E$5+2314,""))</f>
        <v/>
      </c>
      <c r="B2316">
        <f>IF(A2316="","",LOOKUP(A2316,Basiszins!$A$5:$A$18,Basiszins!$B$5:$B$18))</f>
        <v/>
      </c>
      <c r="C2316">
        <f>IF(A2316="","",B2316+Rechner!$E$7)</f>
        <v/>
      </c>
      <c r="D2316">
        <f>J2315</f>
        <v/>
      </c>
      <c r="E2316">
        <f>IF(A2316="",0,D2316*C2316/100/(DATE(YEAR(A2316)+1,1,1)-DATE(YEAR(A2316),1,1)))</f>
        <v/>
      </c>
      <c r="F2316">
        <f>IF(A2316="",0,SUMIF(Rechner!$A$12:$A$21,A2316,Rechner!$B$12:$B$21))</f>
        <v/>
      </c>
      <c r="G2316">
        <f>H2315+E2316</f>
        <v/>
      </c>
      <c r="H2316">
        <f>G2316-MIN(F2316,G2316)</f>
        <v/>
      </c>
      <c r="I2316">
        <f>MIN(F2316-MIN(F2316,G2316),D2316)</f>
        <v/>
      </c>
      <c r="J2316">
        <f>D2316-I2316</f>
        <v/>
      </c>
      <c r="K2316">
        <f>F2316-MIN(F2316,G2316)-I2316</f>
        <v/>
      </c>
    </row>
    <row r="2317">
      <c r="A2317" s="21">
        <f>IF(Rechner!$E$4&lt;&gt;"ok","",IF(Rechner!$E$5+2315&lt;=Rechner!$B$6,Rechner!$E$5+2315,""))</f>
        <v/>
      </c>
      <c r="B2317">
        <f>IF(A2317="","",LOOKUP(A2317,Basiszins!$A$5:$A$18,Basiszins!$B$5:$B$18))</f>
        <v/>
      </c>
      <c r="C2317">
        <f>IF(A2317="","",B2317+Rechner!$E$7)</f>
        <v/>
      </c>
      <c r="D2317">
        <f>J2316</f>
        <v/>
      </c>
      <c r="E2317">
        <f>IF(A2317="",0,D2317*C2317/100/(DATE(YEAR(A2317)+1,1,1)-DATE(YEAR(A2317),1,1)))</f>
        <v/>
      </c>
      <c r="F2317">
        <f>IF(A2317="",0,SUMIF(Rechner!$A$12:$A$21,A2317,Rechner!$B$12:$B$21))</f>
        <v/>
      </c>
      <c r="G2317">
        <f>H2316+E2317</f>
        <v/>
      </c>
      <c r="H2317">
        <f>G2317-MIN(F2317,G2317)</f>
        <v/>
      </c>
      <c r="I2317">
        <f>MIN(F2317-MIN(F2317,G2317),D2317)</f>
        <v/>
      </c>
      <c r="J2317">
        <f>D2317-I2317</f>
        <v/>
      </c>
      <c r="K2317">
        <f>F2317-MIN(F2317,G2317)-I2317</f>
        <v/>
      </c>
    </row>
    <row r="2318">
      <c r="A2318" s="21">
        <f>IF(Rechner!$E$4&lt;&gt;"ok","",IF(Rechner!$E$5+2316&lt;=Rechner!$B$6,Rechner!$E$5+2316,""))</f>
        <v/>
      </c>
      <c r="B2318">
        <f>IF(A2318="","",LOOKUP(A2318,Basiszins!$A$5:$A$18,Basiszins!$B$5:$B$18))</f>
        <v/>
      </c>
      <c r="C2318">
        <f>IF(A2318="","",B2318+Rechner!$E$7)</f>
        <v/>
      </c>
      <c r="D2318">
        <f>J2317</f>
        <v/>
      </c>
      <c r="E2318">
        <f>IF(A2318="",0,D2318*C2318/100/(DATE(YEAR(A2318)+1,1,1)-DATE(YEAR(A2318),1,1)))</f>
        <v/>
      </c>
      <c r="F2318">
        <f>IF(A2318="",0,SUMIF(Rechner!$A$12:$A$21,A2318,Rechner!$B$12:$B$21))</f>
        <v/>
      </c>
      <c r="G2318">
        <f>H2317+E2318</f>
        <v/>
      </c>
      <c r="H2318">
        <f>G2318-MIN(F2318,G2318)</f>
        <v/>
      </c>
      <c r="I2318">
        <f>MIN(F2318-MIN(F2318,G2318),D2318)</f>
        <v/>
      </c>
      <c r="J2318">
        <f>D2318-I2318</f>
        <v/>
      </c>
      <c r="K2318">
        <f>F2318-MIN(F2318,G2318)-I2318</f>
        <v/>
      </c>
    </row>
    <row r="2319">
      <c r="A2319" s="21">
        <f>IF(Rechner!$E$4&lt;&gt;"ok","",IF(Rechner!$E$5+2317&lt;=Rechner!$B$6,Rechner!$E$5+2317,""))</f>
        <v/>
      </c>
      <c r="B2319">
        <f>IF(A2319="","",LOOKUP(A2319,Basiszins!$A$5:$A$18,Basiszins!$B$5:$B$18))</f>
        <v/>
      </c>
      <c r="C2319">
        <f>IF(A2319="","",B2319+Rechner!$E$7)</f>
        <v/>
      </c>
      <c r="D2319">
        <f>J2318</f>
        <v/>
      </c>
      <c r="E2319">
        <f>IF(A2319="",0,D2319*C2319/100/(DATE(YEAR(A2319)+1,1,1)-DATE(YEAR(A2319),1,1)))</f>
        <v/>
      </c>
      <c r="F2319">
        <f>IF(A2319="",0,SUMIF(Rechner!$A$12:$A$21,A2319,Rechner!$B$12:$B$21))</f>
        <v/>
      </c>
      <c r="G2319">
        <f>H2318+E2319</f>
        <v/>
      </c>
      <c r="H2319">
        <f>G2319-MIN(F2319,G2319)</f>
        <v/>
      </c>
      <c r="I2319">
        <f>MIN(F2319-MIN(F2319,G2319),D2319)</f>
        <v/>
      </c>
      <c r="J2319">
        <f>D2319-I2319</f>
        <v/>
      </c>
      <c r="K2319">
        <f>F2319-MIN(F2319,G2319)-I2319</f>
        <v/>
      </c>
    </row>
    <row r="2320">
      <c r="A2320" s="21">
        <f>IF(Rechner!$E$4&lt;&gt;"ok","",IF(Rechner!$E$5+2318&lt;=Rechner!$B$6,Rechner!$E$5+2318,""))</f>
        <v/>
      </c>
      <c r="B2320">
        <f>IF(A2320="","",LOOKUP(A2320,Basiszins!$A$5:$A$18,Basiszins!$B$5:$B$18))</f>
        <v/>
      </c>
      <c r="C2320">
        <f>IF(A2320="","",B2320+Rechner!$E$7)</f>
        <v/>
      </c>
      <c r="D2320">
        <f>J2319</f>
        <v/>
      </c>
      <c r="E2320">
        <f>IF(A2320="",0,D2320*C2320/100/(DATE(YEAR(A2320)+1,1,1)-DATE(YEAR(A2320),1,1)))</f>
        <v/>
      </c>
      <c r="F2320">
        <f>IF(A2320="",0,SUMIF(Rechner!$A$12:$A$21,A2320,Rechner!$B$12:$B$21))</f>
        <v/>
      </c>
      <c r="G2320">
        <f>H2319+E2320</f>
        <v/>
      </c>
      <c r="H2320">
        <f>G2320-MIN(F2320,G2320)</f>
        <v/>
      </c>
      <c r="I2320">
        <f>MIN(F2320-MIN(F2320,G2320),D2320)</f>
        <v/>
      </c>
      <c r="J2320">
        <f>D2320-I2320</f>
        <v/>
      </c>
      <c r="K2320">
        <f>F2320-MIN(F2320,G2320)-I2320</f>
        <v/>
      </c>
    </row>
    <row r="2321">
      <c r="A2321" s="21">
        <f>IF(Rechner!$E$4&lt;&gt;"ok","",IF(Rechner!$E$5+2319&lt;=Rechner!$B$6,Rechner!$E$5+2319,""))</f>
        <v/>
      </c>
      <c r="B2321">
        <f>IF(A2321="","",LOOKUP(A2321,Basiszins!$A$5:$A$18,Basiszins!$B$5:$B$18))</f>
        <v/>
      </c>
      <c r="C2321">
        <f>IF(A2321="","",B2321+Rechner!$E$7)</f>
        <v/>
      </c>
      <c r="D2321">
        <f>J2320</f>
        <v/>
      </c>
      <c r="E2321">
        <f>IF(A2321="",0,D2321*C2321/100/(DATE(YEAR(A2321)+1,1,1)-DATE(YEAR(A2321),1,1)))</f>
        <v/>
      </c>
      <c r="F2321">
        <f>IF(A2321="",0,SUMIF(Rechner!$A$12:$A$21,A2321,Rechner!$B$12:$B$21))</f>
        <v/>
      </c>
      <c r="G2321">
        <f>H2320+E2321</f>
        <v/>
      </c>
      <c r="H2321">
        <f>G2321-MIN(F2321,G2321)</f>
        <v/>
      </c>
      <c r="I2321">
        <f>MIN(F2321-MIN(F2321,G2321),D2321)</f>
        <v/>
      </c>
      <c r="J2321">
        <f>D2321-I2321</f>
        <v/>
      </c>
      <c r="K2321">
        <f>F2321-MIN(F2321,G2321)-I2321</f>
        <v/>
      </c>
    </row>
    <row r="2322">
      <c r="A2322" s="21">
        <f>IF(Rechner!$E$4&lt;&gt;"ok","",IF(Rechner!$E$5+2320&lt;=Rechner!$B$6,Rechner!$E$5+2320,""))</f>
        <v/>
      </c>
      <c r="B2322">
        <f>IF(A2322="","",LOOKUP(A2322,Basiszins!$A$5:$A$18,Basiszins!$B$5:$B$18))</f>
        <v/>
      </c>
      <c r="C2322">
        <f>IF(A2322="","",B2322+Rechner!$E$7)</f>
        <v/>
      </c>
      <c r="D2322">
        <f>J2321</f>
        <v/>
      </c>
      <c r="E2322">
        <f>IF(A2322="",0,D2322*C2322/100/(DATE(YEAR(A2322)+1,1,1)-DATE(YEAR(A2322),1,1)))</f>
        <v/>
      </c>
      <c r="F2322">
        <f>IF(A2322="",0,SUMIF(Rechner!$A$12:$A$21,A2322,Rechner!$B$12:$B$21))</f>
        <v/>
      </c>
      <c r="G2322">
        <f>H2321+E2322</f>
        <v/>
      </c>
      <c r="H2322">
        <f>G2322-MIN(F2322,G2322)</f>
        <v/>
      </c>
      <c r="I2322">
        <f>MIN(F2322-MIN(F2322,G2322),D2322)</f>
        <v/>
      </c>
      <c r="J2322">
        <f>D2322-I2322</f>
        <v/>
      </c>
      <c r="K2322">
        <f>F2322-MIN(F2322,G2322)-I2322</f>
        <v/>
      </c>
    </row>
    <row r="2323">
      <c r="A2323" s="21">
        <f>IF(Rechner!$E$4&lt;&gt;"ok","",IF(Rechner!$E$5+2321&lt;=Rechner!$B$6,Rechner!$E$5+2321,""))</f>
        <v/>
      </c>
      <c r="B2323">
        <f>IF(A2323="","",LOOKUP(A2323,Basiszins!$A$5:$A$18,Basiszins!$B$5:$B$18))</f>
        <v/>
      </c>
      <c r="C2323">
        <f>IF(A2323="","",B2323+Rechner!$E$7)</f>
        <v/>
      </c>
      <c r="D2323">
        <f>J2322</f>
        <v/>
      </c>
      <c r="E2323">
        <f>IF(A2323="",0,D2323*C2323/100/(DATE(YEAR(A2323)+1,1,1)-DATE(YEAR(A2323),1,1)))</f>
        <v/>
      </c>
      <c r="F2323">
        <f>IF(A2323="",0,SUMIF(Rechner!$A$12:$A$21,A2323,Rechner!$B$12:$B$21))</f>
        <v/>
      </c>
      <c r="G2323">
        <f>H2322+E2323</f>
        <v/>
      </c>
      <c r="H2323">
        <f>G2323-MIN(F2323,G2323)</f>
        <v/>
      </c>
      <c r="I2323">
        <f>MIN(F2323-MIN(F2323,G2323),D2323)</f>
        <v/>
      </c>
      <c r="J2323">
        <f>D2323-I2323</f>
        <v/>
      </c>
      <c r="K2323">
        <f>F2323-MIN(F2323,G2323)-I2323</f>
        <v/>
      </c>
    </row>
    <row r="2324">
      <c r="A2324" s="21">
        <f>IF(Rechner!$E$4&lt;&gt;"ok","",IF(Rechner!$E$5+2322&lt;=Rechner!$B$6,Rechner!$E$5+2322,""))</f>
        <v/>
      </c>
      <c r="B2324">
        <f>IF(A2324="","",LOOKUP(A2324,Basiszins!$A$5:$A$18,Basiszins!$B$5:$B$18))</f>
        <v/>
      </c>
      <c r="C2324">
        <f>IF(A2324="","",B2324+Rechner!$E$7)</f>
        <v/>
      </c>
      <c r="D2324">
        <f>J2323</f>
        <v/>
      </c>
      <c r="E2324">
        <f>IF(A2324="",0,D2324*C2324/100/(DATE(YEAR(A2324)+1,1,1)-DATE(YEAR(A2324),1,1)))</f>
        <v/>
      </c>
      <c r="F2324">
        <f>IF(A2324="",0,SUMIF(Rechner!$A$12:$A$21,A2324,Rechner!$B$12:$B$21))</f>
        <v/>
      </c>
      <c r="G2324">
        <f>H2323+E2324</f>
        <v/>
      </c>
      <c r="H2324">
        <f>G2324-MIN(F2324,G2324)</f>
        <v/>
      </c>
      <c r="I2324">
        <f>MIN(F2324-MIN(F2324,G2324),D2324)</f>
        <v/>
      </c>
      <c r="J2324">
        <f>D2324-I2324</f>
        <v/>
      </c>
      <c r="K2324">
        <f>F2324-MIN(F2324,G2324)-I2324</f>
        <v/>
      </c>
    </row>
    <row r="2325">
      <c r="A2325" s="21">
        <f>IF(Rechner!$E$4&lt;&gt;"ok","",IF(Rechner!$E$5+2323&lt;=Rechner!$B$6,Rechner!$E$5+2323,""))</f>
        <v/>
      </c>
      <c r="B2325">
        <f>IF(A2325="","",LOOKUP(A2325,Basiszins!$A$5:$A$18,Basiszins!$B$5:$B$18))</f>
        <v/>
      </c>
      <c r="C2325">
        <f>IF(A2325="","",B2325+Rechner!$E$7)</f>
        <v/>
      </c>
      <c r="D2325">
        <f>J2324</f>
        <v/>
      </c>
      <c r="E2325">
        <f>IF(A2325="",0,D2325*C2325/100/(DATE(YEAR(A2325)+1,1,1)-DATE(YEAR(A2325),1,1)))</f>
        <v/>
      </c>
      <c r="F2325">
        <f>IF(A2325="",0,SUMIF(Rechner!$A$12:$A$21,A2325,Rechner!$B$12:$B$21))</f>
        <v/>
      </c>
      <c r="G2325">
        <f>H2324+E2325</f>
        <v/>
      </c>
      <c r="H2325">
        <f>G2325-MIN(F2325,G2325)</f>
        <v/>
      </c>
      <c r="I2325">
        <f>MIN(F2325-MIN(F2325,G2325),D2325)</f>
        <v/>
      </c>
      <c r="J2325">
        <f>D2325-I2325</f>
        <v/>
      </c>
      <c r="K2325">
        <f>F2325-MIN(F2325,G2325)-I2325</f>
        <v/>
      </c>
    </row>
    <row r="2326">
      <c r="A2326" s="21">
        <f>IF(Rechner!$E$4&lt;&gt;"ok","",IF(Rechner!$E$5+2324&lt;=Rechner!$B$6,Rechner!$E$5+2324,""))</f>
        <v/>
      </c>
      <c r="B2326">
        <f>IF(A2326="","",LOOKUP(A2326,Basiszins!$A$5:$A$18,Basiszins!$B$5:$B$18))</f>
        <v/>
      </c>
      <c r="C2326">
        <f>IF(A2326="","",B2326+Rechner!$E$7)</f>
        <v/>
      </c>
      <c r="D2326">
        <f>J2325</f>
        <v/>
      </c>
      <c r="E2326">
        <f>IF(A2326="",0,D2326*C2326/100/(DATE(YEAR(A2326)+1,1,1)-DATE(YEAR(A2326),1,1)))</f>
        <v/>
      </c>
      <c r="F2326">
        <f>IF(A2326="",0,SUMIF(Rechner!$A$12:$A$21,A2326,Rechner!$B$12:$B$21))</f>
        <v/>
      </c>
      <c r="G2326">
        <f>H2325+E2326</f>
        <v/>
      </c>
      <c r="H2326">
        <f>G2326-MIN(F2326,G2326)</f>
        <v/>
      </c>
      <c r="I2326">
        <f>MIN(F2326-MIN(F2326,G2326),D2326)</f>
        <v/>
      </c>
      <c r="J2326">
        <f>D2326-I2326</f>
        <v/>
      </c>
      <c r="K2326">
        <f>F2326-MIN(F2326,G2326)-I2326</f>
        <v/>
      </c>
    </row>
    <row r="2327">
      <c r="A2327" s="21">
        <f>IF(Rechner!$E$4&lt;&gt;"ok","",IF(Rechner!$E$5+2325&lt;=Rechner!$B$6,Rechner!$E$5+2325,""))</f>
        <v/>
      </c>
      <c r="B2327">
        <f>IF(A2327="","",LOOKUP(A2327,Basiszins!$A$5:$A$18,Basiszins!$B$5:$B$18))</f>
        <v/>
      </c>
      <c r="C2327">
        <f>IF(A2327="","",B2327+Rechner!$E$7)</f>
        <v/>
      </c>
      <c r="D2327">
        <f>J2326</f>
        <v/>
      </c>
      <c r="E2327">
        <f>IF(A2327="",0,D2327*C2327/100/(DATE(YEAR(A2327)+1,1,1)-DATE(YEAR(A2327),1,1)))</f>
        <v/>
      </c>
      <c r="F2327">
        <f>IF(A2327="",0,SUMIF(Rechner!$A$12:$A$21,A2327,Rechner!$B$12:$B$21))</f>
        <v/>
      </c>
      <c r="G2327">
        <f>H2326+E2327</f>
        <v/>
      </c>
      <c r="H2327">
        <f>G2327-MIN(F2327,G2327)</f>
        <v/>
      </c>
      <c r="I2327">
        <f>MIN(F2327-MIN(F2327,G2327),D2327)</f>
        <v/>
      </c>
      <c r="J2327">
        <f>D2327-I2327</f>
        <v/>
      </c>
      <c r="K2327">
        <f>F2327-MIN(F2327,G2327)-I2327</f>
        <v/>
      </c>
    </row>
    <row r="2328">
      <c r="A2328" s="21">
        <f>IF(Rechner!$E$4&lt;&gt;"ok","",IF(Rechner!$E$5+2326&lt;=Rechner!$B$6,Rechner!$E$5+2326,""))</f>
        <v/>
      </c>
      <c r="B2328">
        <f>IF(A2328="","",LOOKUP(A2328,Basiszins!$A$5:$A$18,Basiszins!$B$5:$B$18))</f>
        <v/>
      </c>
      <c r="C2328">
        <f>IF(A2328="","",B2328+Rechner!$E$7)</f>
        <v/>
      </c>
      <c r="D2328">
        <f>J2327</f>
        <v/>
      </c>
      <c r="E2328">
        <f>IF(A2328="",0,D2328*C2328/100/(DATE(YEAR(A2328)+1,1,1)-DATE(YEAR(A2328),1,1)))</f>
        <v/>
      </c>
      <c r="F2328">
        <f>IF(A2328="",0,SUMIF(Rechner!$A$12:$A$21,A2328,Rechner!$B$12:$B$21))</f>
        <v/>
      </c>
      <c r="G2328">
        <f>H2327+E2328</f>
        <v/>
      </c>
      <c r="H2328">
        <f>G2328-MIN(F2328,G2328)</f>
        <v/>
      </c>
      <c r="I2328">
        <f>MIN(F2328-MIN(F2328,G2328),D2328)</f>
        <v/>
      </c>
      <c r="J2328">
        <f>D2328-I2328</f>
        <v/>
      </c>
      <c r="K2328">
        <f>F2328-MIN(F2328,G2328)-I2328</f>
        <v/>
      </c>
    </row>
    <row r="2329">
      <c r="A2329" s="21">
        <f>IF(Rechner!$E$4&lt;&gt;"ok","",IF(Rechner!$E$5+2327&lt;=Rechner!$B$6,Rechner!$E$5+2327,""))</f>
        <v/>
      </c>
      <c r="B2329">
        <f>IF(A2329="","",LOOKUP(A2329,Basiszins!$A$5:$A$18,Basiszins!$B$5:$B$18))</f>
        <v/>
      </c>
      <c r="C2329">
        <f>IF(A2329="","",B2329+Rechner!$E$7)</f>
        <v/>
      </c>
      <c r="D2329">
        <f>J2328</f>
        <v/>
      </c>
      <c r="E2329">
        <f>IF(A2329="",0,D2329*C2329/100/(DATE(YEAR(A2329)+1,1,1)-DATE(YEAR(A2329),1,1)))</f>
        <v/>
      </c>
      <c r="F2329">
        <f>IF(A2329="",0,SUMIF(Rechner!$A$12:$A$21,A2329,Rechner!$B$12:$B$21))</f>
        <v/>
      </c>
      <c r="G2329">
        <f>H2328+E2329</f>
        <v/>
      </c>
      <c r="H2329">
        <f>G2329-MIN(F2329,G2329)</f>
        <v/>
      </c>
      <c r="I2329">
        <f>MIN(F2329-MIN(F2329,G2329),D2329)</f>
        <v/>
      </c>
      <c r="J2329">
        <f>D2329-I2329</f>
        <v/>
      </c>
      <c r="K2329">
        <f>F2329-MIN(F2329,G2329)-I2329</f>
        <v/>
      </c>
    </row>
    <row r="2330">
      <c r="A2330" s="21">
        <f>IF(Rechner!$E$4&lt;&gt;"ok","",IF(Rechner!$E$5+2328&lt;=Rechner!$B$6,Rechner!$E$5+2328,""))</f>
        <v/>
      </c>
      <c r="B2330">
        <f>IF(A2330="","",LOOKUP(A2330,Basiszins!$A$5:$A$18,Basiszins!$B$5:$B$18))</f>
        <v/>
      </c>
      <c r="C2330">
        <f>IF(A2330="","",B2330+Rechner!$E$7)</f>
        <v/>
      </c>
      <c r="D2330">
        <f>J2329</f>
        <v/>
      </c>
      <c r="E2330">
        <f>IF(A2330="",0,D2330*C2330/100/(DATE(YEAR(A2330)+1,1,1)-DATE(YEAR(A2330),1,1)))</f>
        <v/>
      </c>
      <c r="F2330">
        <f>IF(A2330="",0,SUMIF(Rechner!$A$12:$A$21,A2330,Rechner!$B$12:$B$21))</f>
        <v/>
      </c>
      <c r="G2330">
        <f>H2329+E2330</f>
        <v/>
      </c>
      <c r="H2330">
        <f>G2330-MIN(F2330,G2330)</f>
        <v/>
      </c>
      <c r="I2330">
        <f>MIN(F2330-MIN(F2330,G2330),D2330)</f>
        <v/>
      </c>
      <c r="J2330">
        <f>D2330-I2330</f>
        <v/>
      </c>
      <c r="K2330">
        <f>F2330-MIN(F2330,G2330)-I2330</f>
        <v/>
      </c>
    </row>
    <row r="2331">
      <c r="A2331" s="21">
        <f>IF(Rechner!$E$4&lt;&gt;"ok","",IF(Rechner!$E$5+2329&lt;=Rechner!$B$6,Rechner!$E$5+2329,""))</f>
        <v/>
      </c>
      <c r="B2331">
        <f>IF(A2331="","",LOOKUP(A2331,Basiszins!$A$5:$A$18,Basiszins!$B$5:$B$18))</f>
        <v/>
      </c>
      <c r="C2331">
        <f>IF(A2331="","",B2331+Rechner!$E$7)</f>
        <v/>
      </c>
      <c r="D2331">
        <f>J2330</f>
        <v/>
      </c>
      <c r="E2331">
        <f>IF(A2331="",0,D2331*C2331/100/(DATE(YEAR(A2331)+1,1,1)-DATE(YEAR(A2331),1,1)))</f>
        <v/>
      </c>
      <c r="F2331">
        <f>IF(A2331="",0,SUMIF(Rechner!$A$12:$A$21,A2331,Rechner!$B$12:$B$21))</f>
        <v/>
      </c>
      <c r="G2331">
        <f>H2330+E2331</f>
        <v/>
      </c>
      <c r="H2331">
        <f>G2331-MIN(F2331,G2331)</f>
        <v/>
      </c>
      <c r="I2331">
        <f>MIN(F2331-MIN(F2331,G2331),D2331)</f>
        <v/>
      </c>
      <c r="J2331">
        <f>D2331-I2331</f>
        <v/>
      </c>
      <c r="K2331">
        <f>F2331-MIN(F2331,G2331)-I2331</f>
        <v/>
      </c>
    </row>
    <row r="2332">
      <c r="A2332" s="21">
        <f>IF(Rechner!$E$4&lt;&gt;"ok","",IF(Rechner!$E$5+2330&lt;=Rechner!$B$6,Rechner!$E$5+2330,""))</f>
        <v/>
      </c>
      <c r="B2332">
        <f>IF(A2332="","",LOOKUP(A2332,Basiszins!$A$5:$A$18,Basiszins!$B$5:$B$18))</f>
        <v/>
      </c>
      <c r="C2332">
        <f>IF(A2332="","",B2332+Rechner!$E$7)</f>
        <v/>
      </c>
      <c r="D2332">
        <f>J2331</f>
        <v/>
      </c>
      <c r="E2332">
        <f>IF(A2332="",0,D2332*C2332/100/(DATE(YEAR(A2332)+1,1,1)-DATE(YEAR(A2332),1,1)))</f>
        <v/>
      </c>
      <c r="F2332">
        <f>IF(A2332="",0,SUMIF(Rechner!$A$12:$A$21,A2332,Rechner!$B$12:$B$21))</f>
        <v/>
      </c>
      <c r="G2332">
        <f>H2331+E2332</f>
        <v/>
      </c>
      <c r="H2332">
        <f>G2332-MIN(F2332,G2332)</f>
        <v/>
      </c>
      <c r="I2332">
        <f>MIN(F2332-MIN(F2332,G2332),D2332)</f>
        <v/>
      </c>
      <c r="J2332">
        <f>D2332-I2332</f>
        <v/>
      </c>
      <c r="K2332">
        <f>F2332-MIN(F2332,G2332)-I2332</f>
        <v/>
      </c>
    </row>
    <row r="2333">
      <c r="A2333" s="21">
        <f>IF(Rechner!$E$4&lt;&gt;"ok","",IF(Rechner!$E$5+2331&lt;=Rechner!$B$6,Rechner!$E$5+2331,""))</f>
        <v/>
      </c>
      <c r="B2333">
        <f>IF(A2333="","",LOOKUP(A2333,Basiszins!$A$5:$A$18,Basiszins!$B$5:$B$18))</f>
        <v/>
      </c>
      <c r="C2333">
        <f>IF(A2333="","",B2333+Rechner!$E$7)</f>
        <v/>
      </c>
      <c r="D2333">
        <f>J2332</f>
        <v/>
      </c>
      <c r="E2333">
        <f>IF(A2333="",0,D2333*C2333/100/(DATE(YEAR(A2333)+1,1,1)-DATE(YEAR(A2333),1,1)))</f>
        <v/>
      </c>
      <c r="F2333">
        <f>IF(A2333="",0,SUMIF(Rechner!$A$12:$A$21,A2333,Rechner!$B$12:$B$21))</f>
        <v/>
      </c>
      <c r="G2333">
        <f>H2332+E2333</f>
        <v/>
      </c>
      <c r="H2333">
        <f>G2333-MIN(F2333,G2333)</f>
        <v/>
      </c>
      <c r="I2333">
        <f>MIN(F2333-MIN(F2333,G2333),D2333)</f>
        <v/>
      </c>
      <c r="J2333">
        <f>D2333-I2333</f>
        <v/>
      </c>
      <c r="K2333">
        <f>F2333-MIN(F2333,G2333)-I2333</f>
        <v/>
      </c>
    </row>
    <row r="2334">
      <c r="A2334" s="21">
        <f>IF(Rechner!$E$4&lt;&gt;"ok","",IF(Rechner!$E$5+2332&lt;=Rechner!$B$6,Rechner!$E$5+2332,""))</f>
        <v/>
      </c>
      <c r="B2334">
        <f>IF(A2334="","",LOOKUP(A2334,Basiszins!$A$5:$A$18,Basiszins!$B$5:$B$18))</f>
        <v/>
      </c>
      <c r="C2334">
        <f>IF(A2334="","",B2334+Rechner!$E$7)</f>
        <v/>
      </c>
      <c r="D2334">
        <f>J2333</f>
        <v/>
      </c>
      <c r="E2334">
        <f>IF(A2334="",0,D2334*C2334/100/(DATE(YEAR(A2334)+1,1,1)-DATE(YEAR(A2334),1,1)))</f>
        <v/>
      </c>
      <c r="F2334">
        <f>IF(A2334="",0,SUMIF(Rechner!$A$12:$A$21,A2334,Rechner!$B$12:$B$21))</f>
        <v/>
      </c>
      <c r="G2334">
        <f>H2333+E2334</f>
        <v/>
      </c>
      <c r="H2334">
        <f>G2334-MIN(F2334,G2334)</f>
        <v/>
      </c>
      <c r="I2334">
        <f>MIN(F2334-MIN(F2334,G2334),D2334)</f>
        <v/>
      </c>
      <c r="J2334">
        <f>D2334-I2334</f>
        <v/>
      </c>
      <c r="K2334">
        <f>F2334-MIN(F2334,G2334)-I2334</f>
        <v/>
      </c>
    </row>
    <row r="2335">
      <c r="A2335" s="21">
        <f>IF(Rechner!$E$4&lt;&gt;"ok","",IF(Rechner!$E$5+2333&lt;=Rechner!$B$6,Rechner!$E$5+2333,""))</f>
        <v/>
      </c>
      <c r="B2335">
        <f>IF(A2335="","",LOOKUP(A2335,Basiszins!$A$5:$A$18,Basiszins!$B$5:$B$18))</f>
        <v/>
      </c>
      <c r="C2335">
        <f>IF(A2335="","",B2335+Rechner!$E$7)</f>
        <v/>
      </c>
      <c r="D2335">
        <f>J2334</f>
        <v/>
      </c>
      <c r="E2335">
        <f>IF(A2335="",0,D2335*C2335/100/(DATE(YEAR(A2335)+1,1,1)-DATE(YEAR(A2335),1,1)))</f>
        <v/>
      </c>
      <c r="F2335">
        <f>IF(A2335="",0,SUMIF(Rechner!$A$12:$A$21,A2335,Rechner!$B$12:$B$21))</f>
        <v/>
      </c>
      <c r="G2335">
        <f>H2334+E2335</f>
        <v/>
      </c>
      <c r="H2335">
        <f>G2335-MIN(F2335,G2335)</f>
        <v/>
      </c>
      <c r="I2335">
        <f>MIN(F2335-MIN(F2335,G2335),D2335)</f>
        <v/>
      </c>
      <c r="J2335">
        <f>D2335-I2335</f>
        <v/>
      </c>
      <c r="K2335">
        <f>F2335-MIN(F2335,G2335)-I2335</f>
        <v/>
      </c>
    </row>
    <row r="2336">
      <c r="A2336" s="21">
        <f>IF(Rechner!$E$4&lt;&gt;"ok","",IF(Rechner!$E$5+2334&lt;=Rechner!$B$6,Rechner!$E$5+2334,""))</f>
        <v/>
      </c>
      <c r="B2336">
        <f>IF(A2336="","",LOOKUP(A2336,Basiszins!$A$5:$A$18,Basiszins!$B$5:$B$18))</f>
        <v/>
      </c>
      <c r="C2336">
        <f>IF(A2336="","",B2336+Rechner!$E$7)</f>
        <v/>
      </c>
      <c r="D2336">
        <f>J2335</f>
        <v/>
      </c>
      <c r="E2336">
        <f>IF(A2336="",0,D2336*C2336/100/(DATE(YEAR(A2336)+1,1,1)-DATE(YEAR(A2336),1,1)))</f>
        <v/>
      </c>
      <c r="F2336">
        <f>IF(A2336="",0,SUMIF(Rechner!$A$12:$A$21,A2336,Rechner!$B$12:$B$21))</f>
        <v/>
      </c>
      <c r="G2336">
        <f>H2335+E2336</f>
        <v/>
      </c>
      <c r="H2336">
        <f>G2336-MIN(F2336,G2336)</f>
        <v/>
      </c>
      <c r="I2336">
        <f>MIN(F2336-MIN(F2336,G2336),D2336)</f>
        <v/>
      </c>
      <c r="J2336">
        <f>D2336-I2336</f>
        <v/>
      </c>
      <c r="K2336">
        <f>F2336-MIN(F2336,G2336)-I2336</f>
        <v/>
      </c>
    </row>
    <row r="2337">
      <c r="A2337" s="21">
        <f>IF(Rechner!$E$4&lt;&gt;"ok","",IF(Rechner!$E$5+2335&lt;=Rechner!$B$6,Rechner!$E$5+2335,""))</f>
        <v/>
      </c>
      <c r="B2337">
        <f>IF(A2337="","",LOOKUP(A2337,Basiszins!$A$5:$A$18,Basiszins!$B$5:$B$18))</f>
        <v/>
      </c>
      <c r="C2337">
        <f>IF(A2337="","",B2337+Rechner!$E$7)</f>
        <v/>
      </c>
      <c r="D2337">
        <f>J2336</f>
        <v/>
      </c>
      <c r="E2337">
        <f>IF(A2337="",0,D2337*C2337/100/(DATE(YEAR(A2337)+1,1,1)-DATE(YEAR(A2337),1,1)))</f>
        <v/>
      </c>
      <c r="F2337">
        <f>IF(A2337="",0,SUMIF(Rechner!$A$12:$A$21,A2337,Rechner!$B$12:$B$21))</f>
        <v/>
      </c>
      <c r="G2337">
        <f>H2336+E2337</f>
        <v/>
      </c>
      <c r="H2337">
        <f>G2337-MIN(F2337,G2337)</f>
        <v/>
      </c>
      <c r="I2337">
        <f>MIN(F2337-MIN(F2337,G2337),D2337)</f>
        <v/>
      </c>
      <c r="J2337">
        <f>D2337-I2337</f>
        <v/>
      </c>
      <c r="K2337">
        <f>F2337-MIN(F2337,G2337)-I2337</f>
        <v/>
      </c>
    </row>
    <row r="2338">
      <c r="A2338" s="21">
        <f>IF(Rechner!$E$4&lt;&gt;"ok","",IF(Rechner!$E$5+2336&lt;=Rechner!$B$6,Rechner!$E$5+2336,""))</f>
        <v/>
      </c>
      <c r="B2338">
        <f>IF(A2338="","",LOOKUP(A2338,Basiszins!$A$5:$A$18,Basiszins!$B$5:$B$18))</f>
        <v/>
      </c>
      <c r="C2338">
        <f>IF(A2338="","",B2338+Rechner!$E$7)</f>
        <v/>
      </c>
      <c r="D2338">
        <f>J2337</f>
        <v/>
      </c>
      <c r="E2338">
        <f>IF(A2338="",0,D2338*C2338/100/(DATE(YEAR(A2338)+1,1,1)-DATE(YEAR(A2338),1,1)))</f>
        <v/>
      </c>
      <c r="F2338">
        <f>IF(A2338="",0,SUMIF(Rechner!$A$12:$A$21,A2338,Rechner!$B$12:$B$21))</f>
        <v/>
      </c>
      <c r="G2338">
        <f>H2337+E2338</f>
        <v/>
      </c>
      <c r="H2338">
        <f>G2338-MIN(F2338,G2338)</f>
        <v/>
      </c>
      <c r="I2338">
        <f>MIN(F2338-MIN(F2338,G2338),D2338)</f>
        <v/>
      </c>
      <c r="J2338">
        <f>D2338-I2338</f>
        <v/>
      </c>
      <c r="K2338">
        <f>F2338-MIN(F2338,G2338)-I2338</f>
        <v/>
      </c>
    </row>
    <row r="2339">
      <c r="A2339" s="21">
        <f>IF(Rechner!$E$4&lt;&gt;"ok","",IF(Rechner!$E$5+2337&lt;=Rechner!$B$6,Rechner!$E$5+2337,""))</f>
        <v/>
      </c>
      <c r="B2339">
        <f>IF(A2339="","",LOOKUP(A2339,Basiszins!$A$5:$A$18,Basiszins!$B$5:$B$18))</f>
        <v/>
      </c>
      <c r="C2339">
        <f>IF(A2339="","",B2339+Rechner!$E$7)</f>
        <v/>
      </c>
      <c r="D2339">
        <f>J2338</f>
        <v/>
      </c>
      <c r="E2339">
        <f>IF(A2339="",0,D2339*C2339/100/(DATE(YEAR(A2339)+1,1,1)-DATE(YEAR(A2339),1,1)))</f>
        <v/>
      </c>
      <c r="F2339">
        <f>IF(A2339="",0,SUMIF(Rechner!$A$12:$A$21,A2339,Rechner!$B$12:$B$21))</f>
        <v/>
      </c>
      <c r="G2339">
        <f>H2338+E2339</f>
        <v/>
      </c>
      <c r="H2339">
        <f>G2339-MIN(F2339,G2339)</f>
        <v/>
      </c>
      <c r="I2339">
        <f>MIN(F2339-MIN(F2339,G2339),D2339)</f>
        <v/>
      </c>
      <c r="J2339">
        <f>D2339-I2339</f>
        <v/>
      </c>
      <c r="K2339">
        <f>F2339-MIN(F2339,G2339)-I2339</f>
        <v/>
      </c>
    </row>
    <row r="2340">
      <c r="A2340" s="21">
        <f>IF(Rechner!$E$4&lt;&gt;"ok","",IF(Rechner!$E$5+2338&lt;=Rechner!$B$6,Rechner!$E$5+2338,""))</f>
        <v/>
      </c>
      <c r="B2340">
        <f>IF(A2340="","",LOOKUP(A2340,Basiszins!$A$5:$A$18,Basiszins!$B$5:$B$18))</f>
        <v/>
      </c>
      <c r="C2340">
        <f>IF(A2340="","",B2340+Rechner!$E$7)</f>
        <v/>
      </c>
      <c r="D2340">
        <f>J2339</f>
        <v/>
      </c>
      <c r="E2340">
        <f>IF(A2340="",0,D2340*C2340/100/(DATE(YEAR(A2340)+1,1,1)-DATE(YEAR(A2340),1,1)))</f>
        <v/>
      </c>
      <c r="F2340">
        <f>IF(A2340="",0,SUMIF(Rechner!$A$12:$A$21,A2340,Rechner!$B$12:$B$21))</f>
        <v/>
      </c>
      <c r="G2340">
        <f>H2339+E2340</f>
        <v/>
      </c>
      <c r="H2340">
        <f>G2340-MIN(F2340,G2340)</f>
        <v/>
      </c>
      <c r="I2340">
        <f>MIN(F2340-MIN(F2340,G2340),D2340)</f>
        <v/>
      </c>
      <c r="J2340">
        <f>D2340-I2340</f>
        <v/>
      </c>
      <c r="K2340">
        <f>F2340-MIN(F2340,G2340)-I2340</f>
        <v/>
      </c>
    </row>
    <row r="2341">
      <c r="A2341" s="21">
        <f>IF(Rechner!$E$4&lt;&gt;"ok","",IF(Rechner!$E$5+2339&lt;=Rechner!$B$6,Rechner!$E$5+2339,""))</f>
        <v/>
      </c>
      <c r="B2341">
        <f>IF(A2341="","",LOOKUP(A2341,Basiszins!$A$5:$A$18,Basiszins!$B$5:$B$18))</f>
        <v/>
      </c>
      <c r="C2341">
        <f>IF(A2341="","",B2341+Rechner!$E$7)</f>
        <v/>
      </c>
      <c r="D2341">
        <f>J2340</f>
        <v/>
      </c>
      <c r="E2341">
        <f>IF(A2341="",0,D2341*C2341/100/(DATE(YEAR(A2341)+1,1,1)-DATE(YEAR(A2341),1,1)))</f>
        <v/>
      </c>
      <c r="F2341">
        <f>IF(A2341="",0,SUMIF(Rechner!$A$12:$A$21,A2341,Rechner!$B$12:$B$21))</f>
        <v/>
      </c>
      <c r="G2341">
        <f>H2340+E2341</f>
        <v/>
      </c>
      <c r="H2341">
        <f>G2341-MIN(F2341,G2341)</f>
        <v/>
      </c>
      <c r="I2341">
        <f>MIN(F2341-MIN(F2341,G2341),D2341)</f>
        <v/>
      </c>
      <c r="J2341">
        <f>D2341-I2341</f>
        <v/>
      </c>
      <c r="K2341">
        <f>F2341-MIN(F2341,G2341)-I2341</f>
        <v/>
      </c>
    </row>
    <row r="2342">
      <c r="A2342" s="21">
        <f>IF(Rechner!$E$4&lt;&gt;"ok","",IF(Rechner!$E$5+2340&lt;=Rechner!$B$6,Rechner!$E$5+2340,""))</f>
        <v/>
      </c>
      <c r="B2342">
        <f>IF(A2342="","",LOOKUP(A2342,Basiszins!$A$5:$A$18,Basiszins!$B$5:$B$18))</f>
        <v/>
      </c>
      <c r="C2342">
        <f>IF(A2342="","",B2342+Rechner!$E$7)</f>
        <v/>
      </c>
      <c r="D2342">
        <f>J2341</f>
        <v/>
      </c>
      <c r="E2342">
        <f>IF(A2342="",0,D2342*C2342/100/(DATE(YEAR(A2342)+1,1,1)-DATE(YEAR(A2342),1,1)))</f>
        <v/>
      </c>
      <c r="F2342">
        <f>IF(A2342="",0,SUMIF(Rechner!$A$12:$A$21,A2342,Rechner!$B$12:$B$21))</f>
        <v/>
      </c>
      <c r="G2342">
        <f>H2341+E2342</f>
        <v/>
      </c>
      <c r="H2342">
        <f>G2342-MIN(F2342,G2342)</f>
        <v/>
      </c>
      <c r="I2342">
        <f>MIN(F2342-MIN(F2342,G2342),D2342)</f>
        <v/>
      </c>
      <c r="J2342">
        <f>D2342-I2342</f>
        <v/>
      </c>
      <c r="K2342">
        <f>F2342-MIN(F2342,G2342)-I2342</f>
        <v/>
      </c>
    </row>
    <row r="2343">
      <c r="A2343" s="21">
        <f>IF(Rechner!$E$4&lt;&gt;"ok","",IF(Rechner!$E$5+2341&lt;=Rechner!$B$6,Rechner!$E$5+2341,""))</f>
        <v/>
      </c>
      <c r="B2343">
        <f>IF(A2343="","",LOOKUP(A2343,Basiszins!$A$5:$A$18,Basiszins!$B$5:$B$18))</f>
        <v/>
      </c>
      <c r="C2343">
        <f>IF(A2343="","",B2343+Rechner!$E$7)</f>
        <v/>
      </c>
      <c r="D2343">
        <f>J2342</f>
        <v/>
      </c>
      <c r="E2343">
        <f>IF(A2343="",0,D2343*C2343/100/(DATE(YEAR(A2343)+1,1,1)-DATE(YEAR(A2343),1,1)))</f>
        <v/>
      </c>
      <c r="F2343">
        <f>IF(A2343="",0,SUMIF(Rechner!$A$12:$A$21,A2343,Rechner!$B$12:$B$21))</f>
        <v/>
      </c>
      <c r="G2343">
        <f>H2342+E2343</f>
        <v/>
      </c>
      <c r="H2343">
        <f>G2343-MIN(F2343,G2343)</f>
        <v/>
      </c>
      <c r="I2343">
        <f>MIN(F2343-MIN(F2343,G2343),D2343)</f>
        <v/>
      </c>
      <c r="J2343">
        <f>D2343-I2343</f>
        <v/>
      </c>
      <c r="K2343">
        <f>F2343-MIN(F2343,G2343)-I2343</f>
        <v/>
      </c>
    </row>
    <row r="2344">
      <c r="A2344" s="21">
        <f>IF(Rechner!$E$4&lt;&gt;"ok","",IF(Rechner!$E$5+2342&lt;=Rechner!$B$6,Rechner!$E$5+2342,""))</f>
        <v/>
      </c>
      <c r="B2344">
        <f>IF(A2344="","",LOOKUP(A2344,Basiszins!$A$5:$A$18,Basiszins!$B$5:$B$18))</f>
        <v/>
      </c>
      <c r="C2344">
        <f>IF(A2344="","",B2344+Rechner!$E$7)</f>
        <v/>
      </c>
      <c r="D2344">
        <f>J2343</f>
        <v/>
      </c>
      <c r="E2344">
        <f>IF(A2344="",0,D2344*C2344/100/(DATE(YEAR(A2344)+1,1,1)-DATE(YEAR(A2344),1,1)))</f>
        <v/>
      </c>
      <c r="F2344">
        <f>IF(A2344="",0,SUMIF(Rechner!$A$12:$A$21,A2344,Rechner!$B$12:$B$21))</f>
        <v/>
      </c>
      <c r="G2344">
        <f>H2343+E2344</f>
        <v/>
      </c>
      <c r="H2344">
        <f>G2344-MIN(F2344,G2344)</f>
        <v/>
      </c>
      <c r="I2344">
        <f>MIN(F2344-MIN(F2344,G2344),D2344)</f>
        <v/>
      </c>
      <c r="J2344">
        <f>D2344-I2344</f>
        <v/>
      </c>
      <c r="K2344">
        <f>F2344-MIN(F2344,G2344)-I2344</f>
        <v/>
      </c>
    </row>
    <row r="2345">
      <c r="A2345" s="21">
        <f>IF(Rechner!$E$4&lt;&gt;"ok","",IF(Rechner!$E$5+2343&lt;=Rechner!$B$6,Rechner!$E$5+2343,""))</f>
        <v/>
      </c>
      <c r="B2345">
        <f>IF(A2345="","",LOOKUP(A2345,Basiszins!$A$5:$A$18,Basiszins!$B$5:$B$18))</f>
        <v/>
      </c>
      <c r="C2345">
        <f>IF(A2345="","",B2345+Rechner!$E$7)</f>
        <v/>
      </c>
      <c r="D2345">
        <f>J2344</f>
        <v/>
      </c>
      <c r="E2345">
        <f>IF(A2345="",0,D2345*C2345/100/(DATE(YEAR(A2345)+1,1,1)-DATE(YEAR(A2345),1,1)))</f>
        <v/>
      </c>
      <c r="F2345">
        <f>IF(A2345="",0,SUMIF(Rechner!$A$12:$A$21,A2345,Rechner!$B$12:$B$21))</f>
        <v/>
      </c>
      <c r="G2345">
        <f>H2344+E2345</f>
        <v/>
      </c>
      <c r="H2345">
        <f>G2345-MIN(F2345,G2345)</f>
        <v/>
      </c>
      <c r="I2345">
        <f>MIN(F2345-MIN(F2345,G2345),D2345)</f>
        <v/>
      </c>
      <c r="J2345">
        <f>D2345-I2345</f>
        <v/>
      </c>
      <c r="K2345">
        <f>F2345-MIN(F2345,G2345)-I2345</f>
        <v/>
      </c>
    </row>
    <row r="2346">
      <c r="A2346" s="21">
        <f>IF(Rechner!$E$4&lt;&gt;"ok","",IF(Rechner!$E$5+2344&lt;=Rechner!$B$6,Rechner!$E$5+2344,""))</f>
        <v/>
      </c>
      <c r="B2346">
        <f>IF(A2346="","",LOOKUP(A2346,Basiszins!$A$5:$A$18,Basiszins!$B$5:$B$18))</f>
        <v/>
      </c>
      <c r="C2346">
        <f>IF(A2346="","",B2346+Rechner!$E$7)</f>
        <v/>
      </c>
      <c r="D2346">
        <f>J2345</f>
        <v/>
      </c>
      <c r="E2346">
        <f>IF(A2346="",0,D2346*C2346/100/(DATE(YEAR(A2346)+1,1,1)-DATE(YEAR(A2346),1,1)))</f>
        <v/>
      </c>
      <c r="F2346">
        <f>IF(A2346="",0,SUMIF(Rechner!$A$12:$A$21,A2346,Rechner!$B$12:$B$21))</f>
        <v/>
      </c>
      <c r="G2346">
        <f>H2345+E2346</f>
        <v/>
      </c>
      <c r="H2346">
        <f>G2346-MIN(F2346,G2346)</f>
        <v/>
      </c>
      <c r="I2346">
        <f>MIN(F2346-MIN(F2346,G2346),D2346)</f>
        <v/>
      </c>
      <c r="J2346">
        <f>D2346-I2346</f>
        <v/>
      </c>
      <c r="K2346">
        <f>F2346-MIN(F2346,G2346)-I2346</f>
        <v/>
      </c>
    </row>
    <row r="2347">
      <c r="A2347" s="21">
        <f>IF(Rechner!$E$4&lt;&gt;"ok","",IF(Rechner!$E$5+2345&lt;=Rechner!$B$6,Rechner!$E$5+2345,""))</f>
        <v/>
      </c>
      <c r="B2347">
        <f>IF(A2347="","",LOOKUP(A2347,Basiszins!$A$5:$A$18,Basiszins!$B$5:$B$18))</f>
        <v/>
      </c>
      <c r="C2347">
        <f>IF(A2347="","",B2347+Rechner!$E$7)</f>
        <v/>
      </c>
      <c r="D2347">
        <f>J2346</f>
        <v/>
      </c>
      <c r="E2347">
        <f>IF(A2347="",0,D2347*C2347/100/(DATE(YEAR(A2347)+1,1,1)-DATE(YEAR(A2347),1,1)))</f>
        <v/>
      </c>
      <c r="F2347">
        <f>IF(A2347="",0,SUMIF(Rechner!$A$12:$A$21,A2347,Rechner!$B$12:$B$21))</f>
        <v/>
      </c>
      <c r="G2347">
        <f>H2346+E2347</f>
        <v/>
      </c>
      <c r="H2347">
        <f>G2347-MIN(F2347,G2347)</f>
        <v/>
      </c>
      <c r="I2347">
        <f>MIN(F2347-MIN(F2347,G2347),D2347)</f>
        <v/>
      </c>
      <c r="J2347">
        <f>D2347-I2347</f>
        <v/>
      </c>
      <c r="K2347">
        <f>F2347-MIN(F2347,G2347)-I2347</f>
        <v/>
      </c>
    </row>
    <row r="2348">
      <c r="A2348" s="21">
        <f>IF(Rechner!$E$4&lt;&gt;"ok","",IF(Rechner!$E$5+2346&lt;=Rechner!$B$6,Rechner!$E$5+2346,""))</f>
        <v/>
      </c>
      <c r="B2348">
        <f>IF(A2348="","",LOOKUP(A2348,Basiszins!$A$5:$A$18,Basiszins!$B$5:$B$18))</f>
        <v/>
      </c>
      <c r="C2348">
        <f>IF(A2348="","",B2348+Rechner!$E$7)</f>
        <v/>
      </c>
      <c r="D2348">
        <f>J2347</f>
        <v/>
      </c>
      <c r="E2348">
        <f>IF(A2348="",0,D2348*C2348/100/(DATE(YEAR(A2348)+1,1,1)-DATE(YEAR(A2348),1,1)))</f>
        <v/>
      </c>
      <c r="F2348">
        <f>IF(A2348="",0,SUMIF(Rechner!$A$12:$A$21,A2348,Rechner!$B$12:$B$21))</f>
        <v/>
      </c>
      <c r="G2348">
        <f>H2347+E2348</f>
        <v/>
      </c>
      <c r="H2348">
        <f>G2348-MIN(F2348,G2348)</f>
        <v/>
      </c>
      <c r="I2348">
        <f>MIN(F2348-MIN(F2348,G2348),D2348)</f>
        <v/>
      </c>
      <c r="J2348">
        <f>D2348-I2348</f>
        <v/>
      </c>
      <c r="K2348">
        <f>F2348-MIN(F2348,G2348)-I2348</f>
        <v/>
      </c>
    </row>
    <row r="2349">
      <c r="A2349" s="21">
        <f>IF(Rechner!$E$4&lt;&gt;"ok","",IF(Rechner!$E$5+2347&lt;=Rechner!$B$6,Rechner!$E$5+2347,""))</f>
        <v/>
      </c>
      <c r="B2349">
        <f>IF(A2349="","",LOOKUP(A2349,Basiszins!$A$5:$A$18,Basiszins!$B$5:$B$18))</f>
        <v/>
      </c>
      <c r="C2349">
        <f>IF(A2349="","",B2349+Rechner!$E$7)</f>
        <v/>
      </c>
      <c r="D2349">
        <f>J2348</f>
        <v/>
      </c>
      <c r="E2349">
        <f>IF(A2349="",0,D2349*C2349/100/(DATE(YEAR(A2349)+1,1,1)-DATE(YEAR(A2349),1,1)))</f>
        <v/>
      </c>
      <c r="F2349">
        <f>IF(A2349="",0,SUMIF(Rechner!$A$12:$A$21,A2349,Rechner!$B$12:$B$21))</f>
        <v/>
      </c>
      <c r="G2349">
        <f>H2348+E2349</f>
        <v/>
      </c>
      <c r="H2349">
        <f>G2349-MIN(F2349,G2349)</f>
        <v/>
      </c>
      <c r="I2349">
        <f>MIN(F2349-MIN(F2349,G2349),D2349)</f>
        <v/>
      </c>
      <c r="J2349">
        <f>D2349-I2349</f>
        <v/>
      </c>
      <c r="K2349">
        <f>F2349-MIN(F2349,G2349)-I2349</f>
        <v/>
      </c>
    </row>
    <row r="2350">
      <c r="A2350" s="21">
        <f>IF(Rechner!$E$4&lt;&gt;"ok","",IF(Rechner!$E$5+2348&lt;=Rechner!$B$6,Rechner!$E$5+2348,""))</f>
        <v/>
      </c>
      <c r="B2350">
        <f>IF(A2350="","",LOOKUP(A2350,Basiszins!$A$5:$A$18,Basiszins!$B$5:$B$18))</f>
        <v/>
      </c>
      <c r="C2350">
        <f>IF(A2350="","",B2350+Rechner!$E$7)</f>
        <v/>
      </c>
      <c r="D2350">
        <f>J2349</f>
        <v/>
      </c>
      <c r="E2350">
        <f>IF(A2350="",0,D2350*C2350/100/(DATE(YEAR(A2350)+1,1,1)-DATE(YEAR(A2350),1,1)))</f>
        <v/>
      </c>
      <c r="F2350">
        <f>IF(A2350="",0,SUMIF(Rechner!$A$12:$A$21,A2350,Rechner!$B$12:$B$21))</f>
        <v/>
      </c>
      <c r="G2350">
        <f>H2349+E2350</f>
        <v/>
      </c>
      <c r="H2350">
        <f>G2350-MIN(F2350,G2350)</f>
        <v/>
      </c>
      <c r="I2350">
        <f>MIN(F2350-MIN(F2350,G2350),D2350)</f>
        <v/>
      </c>
      <c r="J2350">
        <f>D2350-I2350</f>
        <v/>
      </c>
      <c r="K2350">
        <f>F2350-MIN(F2350,G2350)-I2350</f>
        <v/>
      </c>
    </row>
    <row r="2351">
      <c r="A2351" s="21">
        <f>IF(Rechner!$E$4&lt;&gt;"ok","",IF(Rechner!$E$5+2349&lt;=Rechner!$B$6,Rechner!$E$5+2349,""))</f>
        <v/>
      </c>
      <c r="B2351">
        <f>IF(A2351="","",LOOKUP(A2351,Basiszins!$A$5:$A$18,Basiszins!$B$5:$B$18))</f>
        <v/>
      </c>
      <c r="C2351">
        <f>IF(A2351="","",B2351+Rechner!$E$7)</f>
        <v/>
      </c>
      <c r="D2351">
        <f>J2350</f>
        <v/>
      </c>
      <c r="E2351">
        <f>IF(A2351="",0,D2351*C2351/100/(DATE(YEAR(A2351)+1,1,1)-DATE(YEAR(A2351),1,1)))</f>
        <v/>
      </c>
      <c r="F2351">
        <f>IF(A2351="",0,SUMIF(Rechner!$A$12:$A$21,A2351,Rechner!$B$12:$B$21))</f>
        <v/>
      </c>
      <c r="G2351">
        <f>H2350+E2351</f>
        <v/>
      </c>
      <c r="H2351">
        <f>G2351-MIN(F2351,G2351)</f>
        <v/>
      </c>
      <c r="I2351">
        <f>MIN(F2351-MIN(F2351,G2351),D2351)</f>
        <v/>
      </c>
      <c r="J2351">
        <f>D2351-I2351</f>
        <v/>
      </c>
      <c r="K2351">
        <f>F2351-MIN(F2351,G2351)-I2351</f>
        <v/>
      </c>
    </row>
    <row r="2352">
      <c r="A2352" s="21">
        <f>IF(Rechner!$E$4&lt;&gt;"ok","",IF(Rechner!$E$5+2350&lt;=Rechner!$B$6,Rechner!$E$5+2350,""))</f>
        <v/>
      </c>
      <c r="B2352">
        <f>IF(A2352="","",LOOKUP(A2352,Basiszins!$A$5:$A$18,Basiszins!$B$5:$B$18))</f>
        <v/>
      </c>
      <c r="C2352">
        <f>IF(A2352="","",B2352+Rechner!$E$7)</f>
        <v/>
      </c>
      <c r="D2352">
        <f>J2351</f>
        <v/>
      </c>
      <c r="E2352">
        <f>IF(A2352="",0,D2352*C2352/100/(DATE(YEAR(A2352)+1,1,1)-DATE(YEAR(A2352),1,1)))</f>
        <v/>
      </c>
      <c r="F2352">
        <f>IF(A2352="",0,SUMIF(Rechner!$A$12:$A$21,A2352,Rechner!$B$12:$B$21))</f>
        <v/>
      </c>
      <c r="G2352">
        <f>H2351+E2352</f>
        <v/>
      </c>
      <c r="H2352">
        <f>G2352-MIN(F2352,G2352)</f>
        <v/>
      </c>
      <c r="I2352">
        <f>MIN(F2352-MIN(F2352,G2352),D2352)</f>
        <v/>
      </c>
      <c r="J2352">
        <f>D2352-I2352</f>
        <v/>
      </c>
      <c r="K2352">
        <f>F2352-MIN(F2352,G2352)-I2352</f>
        <v/>
      </c>
    </row>
    <row r="2353">
      <c r="A2353" s="21">
        <f>IF(Rechner!$E$4&lt;&gt;"ok","",IF(Rechner!$E$5+2351&lt;=Rechner!$B$6,Rechner!$E$5+2351,""))</f>
        <v/>
      </c>
      <c r="B2353">
        <f>IF(A2353="","",LOOKUP(A2353,Basiszins!$A$5:$A$18,Basiszins!$B$5:$B$18))</f>
        <v/>
      </c>
      <c r="C2353">
        <f>IF(A2353="","",B2353+Rechner!$E$7)</f>
        <v/>
      </c>
      <c r="D2353">
        <f>J2352</f>
        <v/>
      </c>
      <c r="E2353">
        <f>IF(A2353="",0,D2353*C2353/100/(DATE(YEAR(A2353)+1,1,1)-DATE(YEAR(A2353),1,1)))</f>
        <v/>
      </c>
      <c r="F2353">
        <f>IF(A2353="",0,SUMIF(Rechner!$A$12:$A$21,A2353,Rechner!$B$12:$B$21))</f>
        <v/>
      </c>
      <c r="G2353">
        <f>H2352+E2353</f>
        <v/>
      </c>
      <c r="H2353">
        <f>G2353-MIN(F2353,G2353)</f>
        <v/>
      </c>
      <c r="I2353">
        <f>MIN(F2353-MIN(F2353,G2353),D2353)</f>
        <v/>
      </c>
      <c r="J2353">
        <f>D2353-I2353</f>
        <v/>
      </c>
      <c r="K2353">
        <f>F2353-MIN(F2353,G2353)-I2353</f>
        <v/>
      </c>
    </row>
    <row r="2354">
      <c r="A2354" s="21">
        <f>IF(Rechner!$E$4&lt;&gt;"ok","",IF(Rechner!$E$5+2352&lt;=Rechner!$B$6,Rechner!$E$5+2352,""))</f>
        <v/>
      </c>
      <c r="B2354">
        <f>IF(A2354="","",LOOKUP(A2354,Basiszins!$A$5:$A$18,Basiszins!$B$5:$B$18))</f>
        <v/>
      </c>
      <c r="C2354">
        <f>IF(A2354="","",B2354+Rechner!$E$7)</f>
        <v/>
      </c>
      <c r="D2354">
        <f>J2353</f>
        <v/>
      </c>
      <c r="E2354">
        <f>IF(A2354="",0,D2354*C2354/100/(DATE(YEAR(A2354)+1,1,1)-DATE(YEAR(A2354),1,1)))</f>
        <v/>
      </c>
      <c r="F2354">
        <f>IF(A2354="",0,SUMIF(Rechner!$A$12:$A$21,A2354,Rechner!$B$12:$B$21))</f>
        <v/>
      </c>
      <c r="G2354">
        <f>H2353+E2354</f>
        <v/>
      </c>
      <c r="H2354">
        <f>G2354-MIN(F2354,G2354)</f>
        <v/>
      </c>
      <c r="I2354">
        <f>MIN(F2354-MIN(F2354,G2354),D2354)</f>
        <v/>
      </c>
      <c r="J2354">
        <f>D2354-I2354</f>
        <v/>
      </c>
      <c r="K2354">
        <f>F2354-MIN(F2354,G2354)-I2354</f>
        <v/>
      </c>
    </row>
    <row r="2355">
      <c r="A2355" s="21">
        <f>IF(Rechner!$E$4&lt;&gt;"ok","",IF(Rechner!$E$5+2353&lt;=Rechner!$B$6,Rechner!$E$5+2353,""))</f>
        <v/>
      </c>
      <c r="B2355">
        <f>IF(A2355="","",LOOKUP(A2355,Basiszins!$A$5:$A$18,Basiszins!$B$5:$B$18))</f>
        <v/>
      </c>
      <c r="C2355">
        <f>IF(A2355="","",B2355+Rechner!$E$7)</f>
        <v/>
      </c>
      <c r="D2355">
        <f>J2354</f>
        <v/>
      </c>
      <c r="E2355">
        <f>IF(A2355="",0,D2355*C2355/100/(DATE(YEAR(A2355)+1,1,1)-DATE(YEAR(A2355),1,1)))</f>
        <v/>
      </c>
      <c r="F2355">
        <f>IF(A2355="",0,SUMIF(Rechner!$A$12:$A$21,A2355,Rechner!$B$12:$B$21))</f>
        <v/>
      </c>
      <c r="G2355">
        <f>H2354+E2355</f>
        <v/>
      </c>
      <c r="H2355">
        <f>G2355-MIN(F2355,G2355)</f>
        <v/>
      </c>
      <c r="I2355">
        <f>MIN(F2355-MIN(F2355,G2355),D2355)</f>
        <v/>
      </c>
      <c r="J2355">
        <f>D2355-I2355</f>
        <v/>
      </c>
      <c r="K2355">
        <f>F2355-MIN(F2355,G2355)-I2355</f>
        <v/>
      </c>
    </row>
    <row r="2356">
      <c r="A2356" s="21">
        <f>IF(Rechner!$E$4&lt;&gt;"ok","",IF(Rechner!$E$5+2354&lt;=Rechner!$B$6,Rechner!$E$5+2354,""))</f>
        <v/>
      </c>
      <c r="B2356">
        <f>IF(A2356="","",LOOKUP(A2356,Basiszins!$A$5:$A$18,Basiszins!$B$5:$B$18))</f>
        <v/>
      </c>
      <c r="C2356">
        <f>IF(A2356="","",B2356+Rechner!$E$7)</f>
        <v/>
      </c>
      <c r="D2356">
        <f>J2355</f>
        <v/>
      </c>
      <c r="E2356">
        <f>IF(A2356="",0,D2356*C2356/100/(DATE(YEAR(A2356)+1,1,1)-DATE(YEAR(A2356),1,1)))</f>
        <v/>
      </c>
      <c r="F2356">
        <f>IF(A2356="",0,SUMIF(Rechner!$A$12:$A$21,A2356,Rechner!$B$12:$B$21))</f>
        <v/>
      </c>
      <c r="G2356">
        <f>H2355+E2356</f>
        <v/>
      </c>
      <c r="H2356">
        <f>G2356-MIN(F2356,G2356)</f>
        <v/>
      </c>
      <c r="I2356">
        <f>MIN(F2356-MIN(F2356,G2356),D2356)</f>
        <v/>
      </c>
      <c r="J2356">
        <f>D2356-I2356</f>
        <v/>
      </c>
      <c r="K2356">
        <f>F2356-MIN(F2356,G2356)-I2356</f>
        <v/>
      </c>
    </row>
    <row r="2357">
      <c r="A2357" s="21">
        <f>IF(Rechner!$E$4&lt;&gt;"ok","",IF(Rechner!$E$5+2355&lt;=Rechner!$B$6,Rechner!$E$5+2355,""))</f>
        <v/>
      </c>
      <c r="B2357">
        <f>IF(A2357="","",LOOKUP(A2357,Basiszins!$A$5:$A$18,Basiszins!$B$5:$B$18))</f>
        <v/>
      </c>
      <c r="C2357">
        <f>IF(A2357="","",B2357+Rechner!$E$7)</f>
        <v/>
      </c>
      <c r="D2357">
        <f>J2356</f>
        <v/>
      </c>
      <c r="E2357">
        <f>IF(A2357="",0,D2357*C2357/100/(DATE(YEAR(A2357)+1,1,1)-DATE(YEAR(A2357),1,1)))</f>
        <v/>
      </c>
      <c r="F2357">
        <f>IF(A2357="",0,SUMIF(Rechner!$A$12:$A$21,A2357,Rechner!$B$12:$B$21))</f>
        <v/>
      </c>
      <c r="G2357">
        <f>H2356+E2357</f>
        <v/>
      </c>
      <c r="H2357">
        <f>G2357-MIN(F2357,G2357)</f>
        <v/>
      </c>
      <c r="I2357">
        <f>MIN(F2357-MIN(F2357,G2357),D2357)</f>
        <v/>
      </c>
      <c r="J2357">
        <f>D2357-I2357</f>
        <v/>
      </c>
      <c r="K2357">
        <f>F2357-MIN(F2357,G2357)-I2357</f>
        <v/>
      </c>
    </row>
    <row r="2358">
      <c r="A2358" s="21">
        <f>IF(Rechner!$E$4&lt;&gt;"ok","",IF(Rechner!$E$5+2356&lt;=Rechner!$B$6,Rechner!$E$5+2356,""))</f>
        <v/>
      </c>
      <c r="B2358">
        <f>IF(A2358="","",LOOKUP(A2358,Basiszins!$A$5:$A$18,Basiszins!$B$5:$B$18))</f>
        <v/>
      </c>
      <c r="C2358">
        <f>IF(A2358="","",B2358+Rechner!$E$7)</f>
        <v/>
      </c>
      <c r="D2358">
        <f>J2357</f>
        <v/>
      </c>
      <c r="E2358">
        <f>IF(A2358="",0,D2358*C2358/100/(DATE(YEAR(A2358)+1,1,1)-DATE(YEAR(A2358),1,1)))</f>
        <v/>
      </c>
      <c r="F2358">
        <f>IF(A2358="",0,SUMIF(Rechner!$A$12:$A$21,A2358,Rechner!$B$12:$B$21))</f>
        <v/>
      </c>
      <c r="G2358">
        <f>H2357+E2358</f>
        <v/>
      </c>
      <c r="H2358">
        <f>G2358-MIN(F2358,G2358)</f>
        <v/>
      </c>
      <c r="I2358">
        <f>MIN(F2358-MIN(F2358,G2358),D2358)</f>
        <v/>
      </c>
      <c r="J2358">
        <f>D2358-I2358</f>
        <v/>
      </c>
      <c r="K2358">
        <f>F2358-MIN(F2358,G2358)-I2358</f>
        <v/>
      </c>
    </row>
    <row r="2359">
      <c r="A2359" s="21">
        <f>IF(Rechner!$E$4&lt;&gt;"ok","",IF(Rechner!$E$5+2357&lt;=Rechner!$B$6,Rechner!$E$5+2357,""))</f>
        <v/>
      </c>
      <c r="B2359">
        <f>IF(A2359="","",LOOKUP(A2359,Basiszins!$A$5:$A$18,Basiszins!$B$5:$B$18))</f>
        <v/>
      </c>
      <c r="C2359">
        <f>IF(A2359="","",B2359+Rechner!$E$7)</f>
        <v/>
      </c>
      <c r="D2359">
        <f>J2358</f>
        <v/>
      </c>
      <c r="E2359">
        <f>IF(A2359="",0,D2359*C2359/100/(DATE(YEAR(A2359)+1,1,1)-DATE(YEAR(A2359),1,1)))</f>
        <v/>
      </c>
      <c r="F2359">
        <f>IF(A2359="",0,SUMIF(Rechner!$A$12:$A$21,A2359,Rechner!$B$12:$B$21))</f>
        <v/>
      </c>
      <c r="G2359">
        <f>H2358+E2359</f>
        <v/>
      </c>
      <c r="H2359">
        <f>G2359-MIN(F2359,G2359)</f>
        <v/>
      </c>
      <c r="I2359">
        <f>MIN(F2359-MIN(F2359,G2359),D2359)</f>
        <v/>
      </c>
      <c r="J2359">
        <f>D2359-I2359</f>
        <v/>
      </c>
      <c r="K2359">
        <f>F2359-MIN(F2359,G2359)-I2359</f>
        <v/>
      </c>
    </row>
    <row r="2360">
      <c r="A2360" s="21">
        <f>IF(Rechner!$E$4&lt;&gt;"ok","",IF(Rechner!$E$5+2358&lt;=Rechner!$B$6,Rechner!$E$5+2358,""))</f>
        <v/>
      </c>
      <c r="B2360">
        <f>IF(A2360="","",LOOKUP(A2360,Basiszins!$A$5:$A$18,Basiszins!$B$5:$B$18))</f>
        <v/>
      </c>
      <c r="C2360">
        <f>IF(A2360="","",B2360+Rechner!$E$7)</f>
        <v/>
      </c>
      <c r="D2360">
        <f>J2359</f>
        <v/>
      </c>
      <c r="E2360">
        <f>IF(A2360="",0,D2360*C2360/100/(DATE(YEAR(A2360)+1,1,1)-DATE(YEAR(A2360),1,1)))</f>
        <v/>
      </c>
      <c r="F2360">
        <f>IF(A2360="",0,SUMIF(Rechner!$A$12:$A$21,A2360,Rechner!$B$12:$B$21))</f>
        <v/>
      </c>
      <c r="G2360">
        <f>H2359+E2360</f>
        <v/>
      </c>
      <c r="H2360">
        <f>G2360-MIN(F2360,G2360)</f>
        <v/>
      </c>
      <c r="I2360">
        <f>MIN(F2360-MIN(F2360,G2360),D2360)</f>
        <v/>
      </c>
      <c r="J2360">
        <f>D2360-I2360</f>
        <v/>
      </c>
      <c r="K2360">
        <f>F2360-MIN(F2360,G2360)-I2360</f>
        <v/>
      </c>
    </row>
    <row r="2361">
      <c r="A2361" s="21">
        <f>IF(Rechner!$E$4&lt;&gt;"ok","",IF(Rechner!$E$5+2359&lt;=Rechner!$B$6,Rechner!$E$5+2359,""))</f>
        <v/>
      </c>
      <c r="B2361">
        <f>IF(A2361="","",LOOKUP(A2361,Basiszins!$A$5:$A$18,Basiszins!$B$5:$B$18))</f>
        <v/>
      </c>
      <c r="C2361">
        <f>IF(A2361="","",B2361+Rechner!$E$7)</f>
        <v/>
      </c>
      <c r="D2361">
        <f>J2360</f>
        <v/>
      </c>
      <c r="E2361">
        <f>IF(A2361="",0,D2361*C2361/100/(DATE(YEAR(A2361)+1,1,1)-DATE(YEAR(A2361),1,1)))</f>
        <v/>
      </c>
      <c r="F2361">
        <f>IF(A2361="",0,SUMIF(Rechner!$A$12:$A$21,A2361,Rechner!$B$12:$B$21))</f>
        <v/>
      </c>
      <c r="G2361">
        <f>H2360+E2361</f>
        <v/>
      </c>
      <c r="H2361">
        <f>G2361-MIN(F2361,G2361)</f>
        <v/>
      </c>
      <c r="I2361">
        <f>MIN(F2361-MIN(F2361,G2361),D2361)</f>
        <v/>
      </c>
      <c r="J2361">
        <f>D2361-I2361</f>
        <v/>
      </c>
      <c r="K2361">
        <f>F2361-MIN(F2361,G2361)-I2361</f>
        <v/>
      </c>
    </row>
    <row r="2362">
      <c r="A2362" s="21">
        <f>IF(Rechner!$E$4&lt;&gt;"ok","",IF(Rechner!$E$5+2360&lt;=Rechner!$B$6,Rechner!$E$5+2360,""))</f>
        <v/>
      </c>
      <c r="B2362">
        <f>IF(A2362="","",LOOKUP(A2362,Basiszins!$A$5:$A$18,Basiszins!$B$5:$B$18))</f>
        <v/>
      </c>
      <c r="C2362">
        <f>IF(A2362="","",B2362+Rechner!$E$7)</f>
        <v/>
      </c>
      <c r="D2362">
        <f>J2361</f>
        <v/>
      </c>
      <c r="E2362">
        <f>IF(A2362="",0,D2362*C2362/100/(DATE(YEAR(A2362)+1,1,1)-DATE(YEAR(A2362),1,1)))</f>
        <v/>
      </c>
      <c r="F2362">
        <f>IF(A2362="",0,SUMIF(Rechner!$A$12:$A$21,A2362,Rechner!$B$12:$B$21))</f>
        <v/>
      </c>
      <c r="G2362">
        <f>H2361+E2362</f>
        <v/>
      </c>
      <c r="H2362">
        <f>G2362-MIN(F2362,G2362)</f>
        <v/>
      </c>
      <c r="I2362">
        <f>MIN(F2362-MIN(F2362,G2362),D2362)</f>
        <v/>
      </c>
      <c r="J2362">
        <f>D2362-I2362</f>
        <v/>
      </c>
      <c r="K2362">
        <f>F2362-MIN(F2362,G2362)-I2362</f>
        <v/>
      </c>
    </row>
    <row r="2363">
      <c r="A2363" s="21">
        <f>IF(Rechner!$E$4&lt;&gt;"ok","",IF(Rechner!$E$5+2361&lt;=Rechner!$B$6,Rechner!$E$5+2361,""))</f>
        <v/>
      </c>
      <c r="B2363">
        <f>IF(A2363="","",LOOKUP(A2363,Basiszins!$A$5:$A$18,Basiszins!$B$5:$B$18))</f>
        <v/>
      </c>
      <c r="C2363">
        <f>IF(A2363="","",B2363+Rechner!$E$7)</f>
        <v/>
      </c>
      <c r="D2363">
        <f>J2362</f>
        <v/>
      </c>
      <c r="E2363">
        <f>IF(A2363="",0,D2363*C2363/100/(DATE(YEAR(A2363)+1,1,1)-DATE(YEAR(A2363),1,1)))</f>
        <v/>
      </c>
      <c r="F2363">
        <f>IF(A2363="",0,SUMIF(Rechner!$A$12:$A$21,A2363,Rechner!$B$12:$B$21))</f>
        <v/>
      </c>
      <c r="G2363">
        <f>H2362+E2363</f>
        <v/>
      </c>
      <c r="H2363">
        <f>G2363-MIN(F2363,G2363)</f>
        <v/>
      </c>
      <c r="I2363">
        <f>MIN(F2363-MIN(F2363,G2363),D2363)</f>
        <v/>
      </c>
      <c r="J2363">
        <f>D2363-I2363</f>
        <v/>
      </c>
      <c r="K2363">
        <f>F2363-MIN(F2363,G2363)-I2363</f>
        <v/>
      </c>
    </row>
    <row r="2364">
      <c r="A2364" s="21">
        <f>IF(Rechner!$E$4&lt;&gt;"ok","",IF(Rechner!$E$5+2362&lt;=Rechner!$B$6,Rechner!$E$5+2362,""))</f>
        <v/>
      </c>
      <c r="B2364">
        <f>IF(A2364="","",LOOKUP(A2364,Basiszins!$A$5:$A$18,Basiszins!$B$5:$B$18))</f>
        <v/>
      </c>
      <c r="C2364">
        <f>IF(A2364="","",B2364+Rechner!$E$7)</f>
        <v/>
      </c>
      <c r="D2364">
        <f>J2363</f>
        <v/>
      </c>
      <c r="E2364">
        <f>IF(A2364="",0,D2364*C2364/100/(DATE(YEAR(A2364)+1,1,1)-DATE(YEAR(A2364),1,1)))</f>
        <v/>
      </c>
      <c r="F2364">
        <f>IF(A2364="",0,SUMIF(Rechner!$A$12:$A$21,A2364,Rechner!$B$12:$B$21))</f>
        <v/>
      </c>
      <c r="G2364">
        <f>H2363+E2364</f>
        <v/>
      </c>
      <c r="H2364">
        <f>G2364-MIN(F2364,G2364)</f>
        <v/>
      </c>
      <c r="I2364">
        <f>MIN(F2364-MIN(F2364,G2364),D2364)</f>
        <v/>
      </c>
      <c r="J2364">
        <f>D2364-I2364</f>
        <v/>
      </c>
      <c r="K2364">
        <f>F2364-MIN(F2364,G2364)-I2364</f>
        <v/>
      </c>
    </row>
    <row r="2365">
      <c r="A2365" s="21">
        <f>IF(Rechner!$E$4&lt;&gt;"ok","",IF(Rechner!$E$5+2363&lt;=Rechner!$B$6,Rechner!$E$5+2363,""))</f>
        <v/>
      </c>
      <c r="B2365">
        <f>IF(A2365="","",LOOKUP(A2365,Basiszins!$A$5:$A$18,Basiszins!$B$5:$B$18))</f>
        <v/>
      </c>
      <c r="C2365">
        <f>IF(A2365="","",B2365+Rechner!$E$7)</f>
        <v/>
      </c>
      <c r="D2365">
        <f>J2364</f>
        <v/>
      </c>
      <c r="E2365">
        <f>IF(A2365="",0,D2365*C2365/100/(DATE(YEAR(A2365)+1,1,1)-DATE(YEAR(A2365),1,1)))</f>
        <v/>
      </c>
      <c r="F2365">
        <f>IF(A2365="",0,SUMIF(Rechner!$A$12:$A$21,A2365,Rechner!$B$12:$B$21))</f>
        <v/>
      </c>
      <c r="G2365">
        <f>H2364+E2365</f>
        <v/>
      </c>
      <c r="H2365">
        <f>G2365-MIN(F2365,G2365)</f>
        <v/>
      </c>
      <c r="I2365">
        <f>MIN(F2365-MIN(F2365,G2365),D2365)</f>
        <v/>
      </c>
      <c r="J2365">
        <f>D2365-I2365</f>
        <v/>
      </c>
      <c r="K2365">
        <f>F2365-MIN(F2365,G2365)-I2365</f>
        <v/>
      </c>
    </row>
    <row r="2366">
      <c r="A2366" s="21">
        <f>IF(Rechner!$E$4&lt;&gt;"ok","",IF(Rechner!$E$5+2364&lt;=Rechner!$B$6,Rechner!$E$5+2364,""))</f>
        <v/>
      </c>
      <c r="B2366">
        <f>IF(A2366="","",LOOKUP(A2366,Basiszins!$A$5:$A$18,Basiszins!$B$5:$B$18))</f>
        <v/>
      </c>
      <c r="C2366">
        <f>IF(A2366="","",B2366+Rechner!$E$7)</f>
        <v/>
      </c>
      <c r="D2366">
        <f>J2365</f>
        <v/>
      </c>
      <c r="E2366">
        <f>IF(A2366="",0,D2366*C2366/100/(DATE(YEAR(A2366)+1,1,1)-DATE(YEAR(A2366),1,1)))</f>
        <v/>
      </c>
      <c r="F2366">
        <f>IF(A2366="",0,SUMIF(Rechner!$A$12:$A$21,A2366,Rechner!$B$12:$B$21))</f>
        <v/>
      </c>
      <c r="G2366">
        <f>H2365+E2366</f>
        <v/>
      </c>
      <c r="H2366">
        <f>G2366-MIN(F2366,G2366)</f>
        <v/>
      </c>
      <c r="I2366">
        <f>MIN(F2366-MIN(F2366,G2366),D2366)</f>
        <v/>
      </c>
      <c r="J2366">
        <f>D2366-I2366</f>
        <v/>
      </c>
      <c r="K2366">
        <f>F2366-MIN(F2366,G2366)-I2366</f>
        <v/>
      </c>
    </row>
    <row r="2367">
      <c r="A2367" s="21">
        <f>IF(Rechner!$E$4&lt;&gt;"ok","",IF(Rechner!$E$5+2365&lt;=Rechner!$B$6,Rechner!$E$5+2365,""))</f>
        <v/>
      </c>
      <c r="B2367">
        <f>IF(A2367="","",LOOKUP(A2367,Basiszins!$A$5:$A$18,Basiszins!$B$5:$B$18))</f>
        <v/>
      </c>
      <c r="C2367">
        <f>IF(A2367="","",B2367+Rechner!$E$7)</f>
        <v/>
      </c>
      <c r="D2367">
        <f>J2366</f>
        <v/>
      </c>
      <c r="E2367">
        <f>IF(A2367="",0,D2367*C2367/100/(DATE(YEAR(A2367)+1,1,1)-DATE(YEAR(A2367),1,1)))</f>
        <v/>
      </c>
      <c r="F2367">
        <f>IF(A2367="",0,SUMIF(Rechner!$A$12:$A$21,A2367,Rechner!$B$12:$B$21))</f>
        <v/>
      </c>
      <c r="G2367">
        <f>H2366+E2367</f>
        <v/>
      </c>
      <c r="H2367">
        <f>G2367-MIN(F2367,G2367)</f>
        <v/>
      </c>
      <c r="I2367">
        <f>MIN(F2367-MIN(F2367,G2367),D2367)</f>
        <v/>
      </c>
      <c r="J2367">
        <f>D2367-I2367</f>
        <v/>
      </c>
      <c r="K2367">
        <f>F2367-MIN(F2367,G2367)-I2367</f>
        <v/>
      </c>
    </row>
    <row r="2368">
      <c r="A2368" s="21">
        <f>IF(Rechner!$E$4&lt;&gt;"ok","",IF(Rechner!$E$5+2366&lt;=Rechner!$B$6,Rechner!$E$5+2366,""))</f>
        <v/>
      </c>
      <c r="B2368">
        <f>IF(A2368="","",LOOKUP(A2368,Basiszins!$A$5:$A$18,Basiszins!$B$5:$B$18))</f>
        <v/>
      </c>
      <c r="C2368">
        <f>IF(A2368="","",B2368+Rechner!$E$7)</f>
        <v/>
      </c>
      <c r="D2368">
        <f>J2367</f>
        <v/>
      </c>
      <c r="E2368">
        <f>IF(A2368="",0,D2368*C2368/100/(DATE(YEAR(A2368)+1,1,1)-DATE(YEAR(A2368),1,1)))</f>
        <v/>
      </c>
      <c r="F2368">
        <f>IF(A2368="",0,SUMIF(Rechner!$A$12:$A$21,A2368,Rechner!$B$12:$B$21))</f>
        <v/>
      </c>
      <c r="G2368">
        <f>H2367+E2368</f>
        <v/>
      </c>
      <c r="H2368">
        <f>G2368-MIN(F2368,G2368)</f>
        <v/>
      </c>
      <c r="I2368">
        <f>MIN(F2368-MIN(F2368,G2368),D2368)</f>
        <v/>
      </c>
      <c r="J2368">
        <f>D2368-I2368</f>
        <v/>
      </c>
      <c r="K2368">
        <f>F2368-MIN(F2368,G2368)-I2368</f>
        <v/>
      </c>
    </row>
    <row r="2369">
      <c r="A2369" s="21">
        <f>IF(Rechner!$E$4&lt;&gt;"ok","",IF(Rechner!$E$5+2367&lt;=Rechner!$B$6,Rechner!$E$5+2367,""))</f>
        <v/>
      </c>
      <c r="B2369">
        <f>IF(A2369="","",LOOKUP(A2369,Basiszins!$A$5:$A$18,Basiszins!$B$5:$B$18))</f>
        <v/>
      </c>
      <c r="C2369">
        <f>IF(A2369="","",B2369+Rechner!$E$7)</f>
        <v/>
      </c>
      <c r="D2369">
        <f>J2368</f>
        <v/>
      </c>
      <c r="E2369">
        <f>IF(A2369="",0,D2369*C2369/100/(DATE(YEAR(A2369)+1,1,1)-DATE(YEAR(A2369),1,1)))</f>
        <v/>
      </c>
      <c r="F2369">
        <f>IF(A2369="",0,SUMIF(Rechner!$A$12:$A$21,A2369,Rechner!$B$12:$B$21))</f>
        <v/>
      </c>
      <c r="G2369">
        <f>H2368+E2369</f>
        <v/>
      </c>
      <c r="H2369">
        <f>G2369-MIN(F2369,G2369)</f>
        <v/>
      </c>
      <c r="I2369">
        <f>MIN(F2369-MIN(F2369,G2369),D2369)</f>
        <v/>
      </c>
      <c r="J2369">
        <f>D2369-I2369</f>
        <v/>
      </c>
      <c r="K2369">
        <f>F2369-MIN(F2369,G2369)-I2369</f>
        <v/>
      </c>
    </row>
    <row r="2370">
      <c r="A2370" s="21">
        <f>IF(Rechner!$E$4&lt;&gt;"ok","",IF(Rechner!$E$5+2368&lt;=Rechner!$B$6,Rechner!$E$5+2368,""))</f>
        <v/>
      </c>
      <c r="B2370">
        <f>IF(A2370="","",LOOKUP(A2370,Basiszins!$A$5:$A$18,Basiszins!$B$5:$B$18))</f>
        <v/>
      </c>
      <c r="C2370">
        <f>IF(A2370="","",B2370+Rechner!$E$7)</f>
        <v/>
      </c>
      <c r="D2370">
        <f>J2369</f>
        <v/>
      </c>
      <c r="E2370">
        <f>IF(A2370="",0,D2370*C2370/100/(DATE(YEAR(A2370)+1,1,1)-DATE(YEAR(A2370),1,1)))</f>
        <v/>
      </c>
      <c r="F2370">
        <f>IF(A2370="",0,SUMIF(Rechner!$A$12:$A$21,A2370,Rechner!$B$12:$B$21))</f>
        <v/>
      </c>
      <c r="G2370">
        <f>H2369+E2370</f>
        <v/>
      </c>
      <c r="H2370">
        <f>G2370-MIN(F2370,G2370)</f>
        <v/>
      </c>
      <c r="I2370">
        <f>MIN(F2370-MIN(F2370,G2370),D2370)</f>
        <v/>
      </c>
      <c r="J2370">
        <f>D2370-I2370</f>
        <v/>
      </c>
      <c r="K2370">
        <f>F2370-MIN(F2370,G2370)-I2370</f>
        <v/>
      </c>
    </row>
    <row r="2371">
      <c r="A2371" s="21">
        <f>IF(Rechner!$E$4&lt;&gt;"ok","",IF(Rechner!$E$5+2369&lt;=Rechner!$B$6,Rechner!$E$5+2369,""))</f>
        <v/>
      </c>
      <c r="B2371">
        <f>IF(A2371="","",LOOKUP(A2371,Basiszins!$A$5:$A$18,Basiszins!$B$5:$B$18))</f>
        <v/>
      </c>
      <c r="C2371">
        <f>IF(A2371="","",B2371+Rechner!$E$7)</f>
        <v/>
      </c>
      <c r="D2371">
        <f>J2370</f>
        <v/>
      </c>
      <c r="E2371">
        <f>IF(A2371="",0,D2371*C2371/100/(DATE(YEAR(A2371)+1,1,1)-DATE(YEAR(A2371),1,1)))</f>
        <v/>
      </c>
      <c r="F2371">
        <f>IF(A2371="",0,SUMIF(Rechner!$A$12:$A$21,A2371,Rechner!$B$12:$B$21))</f>
        <v/>
      </c>
      <c r="G2371">
        <f>H2370+E2371</f>
        <v/>
      </c>
      <c r="H2371">
        <f>G2371-MIN(F2371,G2371)</f>
        <v/>
      </c>
      <c r="I2371">
        <f>MIN(F2371-MIN(F2371,G2371),D2371)</f>
        <v/>
      </c>
      <c r="J2371">
        <f>D2371-I2371</f>
        <v/>
      </c>
      <c r="K2371">
        <f>F2371-MIN(F2371,G2371)-I2371</f>
        <v/>
      </c>
    </row>
    <row r="2372">
      <c r="A2372" s="21">
        <f>IF(Rechner!$E$4&lt;&gt;"ok","",IF(Rechner!$E$5+2370&lt;=Rechner!$B$6,Rechner!$E$5+2370,""))</f>
        <v/>
      </c>
      <c r="B2372">
        <f>IF(A2372="","",LOOKUP(A2372,Basiszins!$A$5:$A$18,Basiszins!$B$5:$B$18))</f>
        <v/>
      </c>
      <c r="C2372">
        <f>IF(A2372="","",B2372+Rechner!$E$7)</f>
        <v/>
      </c>
      <c r="D2372">
        <f>J2371</f>
        <v/>
      </c>
      <c r="E2372">
        <f>IF(A2372="",0,D2372*C2372/100/(DATE(YEAR(A2372)+1,1,1)-DATE(YEAR(A2372),1,1)))</f>
        <v/>
      </c>
      <c r="F2372">
        <f>IF(A2372="",0,SUMIF(Rechner!$A$12:$A$21,A2372,Rechner!$B$12:$B$21))</f>
        <v/>
      </c>
      <c r="G2372">
        <f>H2371+E2372</f>
        <v/>
      </c>
      <c r="H2372">
        <f>G2372-MIN(F2372,G2372)</f>
        <v/>
      </c>
      <c r="I2372">
        <f>MIN(F2372-MIN(F2372,G2372),D2372)</f>
        <v/>
      </c>
      <c r="J2372">
        <f>D2372-I2372</f>
        <v/>
      </c>
      <c r="K2372">
        <f>F2372-MIN(F2372,G2372)-I2372</f>
        <v/>
      </c>
    </row>
    <row r="2373">
      <c r="A2373" s="21">
        <f>IF(Rechner!$E$4&lt;&gt;"ok","",IF(Rechner!$E$5+2371&lt;=Rechner!$B$6,Rechner!$E$5+2371,""))</f>
        <v/>
      </c>
      <c r="B2373">
        <f>IF(A2373="","",LOOKUP(A2373,Basiszins!$A$5:$A$18,Basiszins!$B$5:$B$18))</f>
        <v/>
      </c>
      <c r="C2373">
        <f>IF(A2373="","",B2373+Rechner!$E$7)</f>
        <v/>
      </c>
      <c r="D2373">
        <f>J2372</f>
        <v/>
      </c>
      <c r="E2373">
        <f>IF(A2373="",0,D2373*C2373/100/(DATE(YEAR(A2373)+1,1,1)-DATE(YEAR(A2373),1,1)))</f>
        <v/>
      </c>
      <c r="F2373">
        <f>IF(A2373="",0,SUMIF(Rechner!$A$12:$A$21,A2373,Rechner!$B$12:$B$21))</f>
        <v/>
      </c>
      <c r="G2373">
        <f>H2372+E2373</f>
        <v/>
      </c>
      <c r="H2373">
        <f>G2373-MIN(F2373,G2373)</f>
        <v/>
      </c>
      <c r="I2373">
        <f>MIN(F2373-MIN(F2373,G2373),D2373)</f>
        <v/>
      </c>
      <c r="J2373">
        <f>D2373-I2373</f>
        <v/>
      </c>
      <c r="K2373">
        <f>F2373-MIN(F2373,G2373)-I2373</f>
        <v/>
      </c>
    </row>
    <row r="2374">
      <c r="A2374" s="21">
        <f>IF(Rechner!$E$4&lt;&gt;"ok","",IF(Rechner!$E$5+2372&lt;=Rechner!$B$6,Rechner!$E$5+2372,""))</f>
        <v/>
      </c>
      <c r="B2374">
        <f>IF(A2374="","",LOOKUP(A2374,Basiszins!$A$5:$A$18,Basiszins!$B$5:$B$18))</f>
        <v/>
      </c>
      <c r="C2374">
        <f>IF(A2374="","",B2374+Rechner!$E$7)</f>
        <v/>
      </c>
      <c r="D2374">
        <f>J2373</f>
        <v/>
      </c>
      <c r="E2374">
        <f>IF(A2374="",0,D2374*C2374/100/(DATE(YEAR(A2374)+1,1,1)-DATE(YEAR(A2374),1,1)))</f>
        <v/>
      </c>
      <c r="F2374">
        <f>IF(A2374="",0,SUMIF(Rechner!$A$12:$A$21,A2374,Rechner!$B$12:$B$21))</f>
        <v/>
      </c>
      <c r="G2374">
        <f>H2373+E2374</f>
        <v/>
      </c>
      <c r="H2374">
        <f>G2374-MIN(F2374,G2374)</f>
        <v/>
      </c>
      <c r="I2374">
        <f>MIN(F2374-MIN(F2374,G2374),D2374)</f>
        <v/>
      </c>
      <c r="J2374">
        <f>D2374-I2374</f>
        <v/>
      </c>
      <c r="K2374">
        <f>F2374-MIN(F2374,G2374)-I2374</f>
        <v/>
      </c>
    </row>
    <row r="2375">
      <c r="A2375" s="21">
        <f>IF(Rechner!$E$4&lt;&gt;"ok","",IF(Rechner!$E$5+2373&lt;=Rechner!$B$6,Rechner!$E$5+2373,""))</f>
        <v/>
      </c>
      <c r="B2375">
        <f>IF(A2375="","",LOOKUP(A2375,Basiszins!$A$5:$A$18,Basiszins!$B$5:$B$18))</f>
        <v/>
      </c>
      <c r="C2375">
        <f>IF(A2375="","",B2375+Rechner!$E$7)</f>
        <v/>
      </c>
      <c r="D2375">
        <f>J2374</f>
        <v/>
      </c>
      <c r="E2375">
        <f>IF(A2375="",0,D2375*C2375/100/(DATE(YEAR(A2375)+1,1,1)-DATE(YEAR(A2375),1,1)))</f>
        <v/>
      </c>
      <c r="F2375">
        <f>IF(A2375="",0,SUMIF(Rechner!$A$12:$A$21,A2375,Rechner!$B$12:$B$21))</f>
        <v/>
      </c>
      <c r="G2375">
        <f>H2374+E2375</f>
        <v/>
      </c>
      <c r="H2375">
        <f>G2375-MIN(F2375,G2375)</f>
        <v/>
      </c>
      <c r="I2375">
        <f>MIN(F2375-MIN(F2375,G2375),D2375)</f>
        <v/>
      </c>
      <c r="J2375">
        <f>D2375-I2375</f>
        <v/>
      </c>
      <c r="K2375">
        <f>F2375-MIN(F2375,G2375)-I2375</f>
        <v/>
      </c>
    </row>
    <row r="2376">
      <c r="A2376" s="21">
        <f>IF(Rechner!$E$4&lt;&gt;"ok","",IF(Rechner!$E$5+2374&lt;=Rechner!$B$6,Rechner!$E$5+2374,""))</f>
        <v/>
      </c>
      <c r="B2376">
        <f>IF(A2376="","",LOOKUP(A2376,Basiszins!$A$5:$A$18,Basiszins!$B$5:$B$18))</f>
        <v/>
      </c>
      <c r="C2376">
        <f>IF(A2376="","",B2376+Rechner!$E$7)</f>
        <v/>
      </c>
      <c r="D2376">
        <f>J2375</f>
        <v/>
      </c>
      <c r="E2376">
        <f>IF(A2376="",0,D2376*C2376/100/(DATE(YEAR(A2376)+1,1,1)-DATE(YEAR(A2376),1,1)))</f>
        <v/>
      </c>
      <c r="F2376">
        <f>IF(A2376="",0,SUMIF(Rechner!$A$12:$A$21,A2376,Rechner!$B$12:$B$21))</f>
        <v/>
      </c>
      <c r="G2376">
        <f>H2375+E2376</f>
        <v/>
      </c>
      <c r="H2376">
        <f>G2376-MIN(F2376,G2376)</f>
        <v/>
      </c>
      <c r="I2376">
        <f>MIN(F2376-MIN(F2376,G2376),D2376)</f>
        <v/>
      </c>
      <c r="J2376">
        <f>D2376-I2376</f>
        <v/>
      </c>
      <c r="K2376">
        <f>F2376-MIN(F2376,G2376)-I2376</f>
        <v/>
      </c>
    </row>
    <row r="2377">
      <c r="A2377" s="21">
        <f>IF(Rechner!$E$4&lt;&gt;"ok","",IF(Rechner!$E$5+2375&lt;=Rechner!$B$6,Rechner!$E$5+2375,""))</f>
        <v/>
      </c>
      <c r="B2377">
        <f>IF(A2377="","",LOOKUP(A2377,Basiszins!$A$5:$A$18,Basiszins!$B$5:$B$18))</f>
        <v/>
      </c>
      <c r="C2377">
        <f>IF(A2377="","",B2377+Rechner!$E$7)</f>
        <v/>
      </c>
      <c r="D2377">
        <f>J2376</f>
        <v/>
      </c>
      <c r="E2377">
        <f>IF(A2377="",0,D2377*C2377/100/(DATE(YEAR(A2377)+1,1,1)-DATE(YEAR(A2377),1,1)))</f>
        <v/>
      </c>
      <c r="F2377">
        <f>IF(A2377="",0,SUMIF(Rechner!$A$12:$A$21,A2377,Rechner!$B$12:$B$21))</f>
        <v/>
      </c>
      <c r="G2377">
        <f>H2376+E2377</f>
        <v/>
      </c>
      <c r="H2377">
        <f>G2377-MIN(F2377,G2377)</f>
        <v/>
      </c>
      <c r="I2377">
        <f>MIN(F2377-MIN(F2377,G2377),D2377)</f>
        <v/>
      </c>
      <c r="J2377">
        <f>D2377-I2377</f>
        <v/>
      </c>
      <c r="K2377">
        <f>F2377-MIN(F2377,G2377)-I2377</f>
        <v/>
      </c>
    </row>
    <row r="2378">
      <c r="A2378" s="21">
        <f>IF(Rechner!$E$4&lt;&gt;"ok","",IF(Rechner!$E$5+2376&lt;=Rechner!$B$6,Rechner!$E$5+2376,""))</f>
        <v/>
      </c>
      <c r="B2378">
        <f>IF(A2378="","",LOOKUP(A2378,Basiszins!$A$5:$A$18,Basiszins!$B$5:$B$18))</f>
        <v/>
      </c>
      <c r="C2378">
        <f>IF(A2378="","",B2378+Rechner!$E$7)</f>
        <v/>
      </c>
      <c r="D2378">
        <f>J2377</f>
        <v/>
      </c>
      <c r="E2378">
        <f>IF(A2378="",0,D2378*C2378/100/(DATE(YEAR(A2378)+1,1,1)-DATE(YEAR(A2378),1,1)))</f>
        <v/>
      </c>
      <c r="F2378">
        <f>IF(A2378="",0,SUMIF(Rechner!$A$12:$A$21,A2378,Rechner!$B$12:$B$21))</f>
        <v/>
      </c>
      <c r="G2378">
        <f>H2377+E2378</f>
        <v/>
      </c>
      <c r="H2378">
        <f>G2378-MIN(F2378,G2378)</f>
        <v/>
      </c>
      <c r="I2378">
        <f>MIN(F2378-MIN(F2378,G2378),D2378)</f>
        <v/>
      </c>
      <c r="J2378">
        <f>D2378-I2378</f>
        <v/>
      </c>
      <c r="K2378">
        <f>F2378-MIN(F2378,G2378)-I2378</f>
        <v/>
      </c>
    </row>
    <row r="2379">
      <c r="A2379" s="21">
        <f>IF(Rechner!$E$4&lt;&gt;"ok","",IF(Rechner!$E$5+2377&lt;=Rechner!$B$6,Rechner!$E$5+2377,""))</f>
        <v/>
      </c>
      <c r="B2379">
        <f>IF(A2379="","",LOOKUP(A2379,Basiszins!$A$5:$A$18,Basiszins!$B$5:$B$18))</f>
        <v/>
      </c>
      <c r="C2379">
        <f>IF(A2379="","",B2379+Rechner!$E$7)</f>
        <v/>
      </c>
      <c r="D2379">
        <f>J2378</f>
        <v/>
      </c>
      <c r="E2379">
        <f>IF(A2379="",0,D2379*C2379/100/(DATE(YEAR(A2379)+1,1,1)-DATE(YEAR(A2379),1,1)))</f>
        <v/>
      </c>
      <c r="F2379">
        <f>IF(A2379="",0,SUMIF(Rechner!$A$12:$A$21,A2379,Rechner!$B$12:$B$21))</f>
        <v/>
      </c>
      <c r="G2379">
        <f>H2378+E2379</f>
        <v/>
      </c>
      <c r="H2379">
        <f>G2379-MIN(F2379,G2379)</f>
        <v/>
      </c>
      <c r="I2379">
        <f>MIN(F2379-MIN(F2379,G2379),D2379)</f>
        <v/>
      </c>
      <c r="J2379">
        <f>D2379-I2379</f>
        <v/>
      </c>
      <c r="K2379">
        <f>F2379-MIN(F2379,G2379)-I2379</f>
        <v/>
      </c>
    </row>
    <row r="2380">
      <c r="A2380" s="21">
        <f>IF(Rechner!$E$4&lt;&gt;"ok","",IF(Rechner!$E$5+2378&lt;=Rechner!$B$6,Rechner!$E$5+2378,""))</f>
        <v/>
      </c>
      <c r="B2380">
        <f>IF(A2380="","",LOOKUP(A2380,Basiszins!$A$5:$A$18,Basiszins!$B$5:$B$18))</f>
        <v/>
      </c>
      <c r="C2380">
        <f>IF(A2380="","",B2380+Rechner!$E$7)</f>
        <v/>
      </c>
      <c r="D2380">
        <f>J2379</f>
        <v/>
      </c>
      <c r="E2380">
        <f>IF(A2380="",0,D2380*C2380/100/(DATE(YEAR(A2380)+1,1,1)-DATE(YEAR(A2380),1,1)))</f>
        <v/>
      </c>
      <c r="F2380">
        <f>IF(A2380="",0,SUMIF(Rechner!$A$12:$A$21,A2380,Rechner!$B$12:$B$21))</f>
        <v/>
      </c>
      <c r="G2380">
        <f>H2379+E2380</f>
        <v/>
      </c>
      <c r="H2380">
        <f>G2380-MIN(F2380,G2380)</f>
        <v/>
      </c>
      <c r="I2380">
        <f>MIN(F2380-MIN(F2380,G2380),D2380)</f>
        <v/>
      </c>
      <c r="J2380">
        <f>D2380-I2380</f>
        <v/>
      </c>
      <c r="K2380">
        <f>F2380-MIN(F2380,G2380)-I2380</f>
        <v/>
      </c>
    </row>
    <row r="2381">
      <c r="A2381" s="21">
        <f>IF(Rechner!$E$4&lt;&gt;"ok","",IF(Rechner!$E$5+2379&lt;=Rechner!$B$6,Rechner!$E$5+2379,""))</f>
        <v/>
      </c>
      <c r="B2381">
        <f>IF(A2381="","",LOOKUP(A2381,Basiszins!$A$5:$A$18,Basiszins!$B$5:$B$18))</f>
        <v/>
      </c>
      <c r="C2381">
        <f>IF(A2381="","",B2381+Rechner!$E$7)</f>
        <v/>
      </c>
      <c r="D2381">
        <f>J2380</f>
        <v/>
      </c>
      <c r="E2381">
        <f>IF(A2381="",0,D2381*C2381/100/(DATE(YEAR(A2381)+1,1,1)-DATE(YEAR(A2381),1,1)))</f>
        <v/>
      </c>
      <c r="F2381">
        <f>IF(A2381="",0,SUMIF(Rechner!$A$12:$A$21,A2381,Rechner!$B$12:$B$21))</f>
        <v/>
      </c>
      <c r="G2381">
        <f>H2380+E2381</f>
        <v/>
      </c>
      <c r="H2381">
        <f>G2381-MIN(F2381,G2381)</f>
        <v/>
      </c>
      <c r="I2381">
        <f>MIN(F2381-MIN(F2381,G2381),D2381)</f>
        <v/>
      </c>
      <c r="J2381">
        <f>D2381-I2381</f>
        <v/>
      </c>
      <c r="K2381">
        <f>F2381-MIN(F2381,G2381)-I2381</f>
        <v/>
      </c>
    </row>
    <row r="2382">
      <c r="A2382" s="21">
        <f>IF(Rechner!$E$4&lt;&gt;"ok","",IF(Rechner!$E$5+2380&lt;=Rechner!$B$6,Rechner!$E$5+2380,""))</f>
        <v/>
      </c>
      <c r="B2382">
        <f>IF(A2382="","",LOOKUP(A2382,Basiszins!$A$5:$A$18,Basiszins!$B$5:$B$18))</f>
        <v/>
      </c>
      <c r="C2382">
        <f>IF(A2382="","",B2382+Rechner!$E$7)</f>
        <v/>
      </c>
      <c r="D2382">
        <f>J2381</f>
        <v/>
      </c>
      <c r="E2382">
        <f>IF(A2382="",0,D2382*C2382/100/(DATE(YEAR(A2382)+1,1,1)-DATE(YEAR(A2382),1,1)))</f>
        <v/>
      </c>
      <c r="F2382">
        <f>IF(A2382="",0,SUMIF(Rechner!$A$12:$A$21,A2382,Rechner!$B$12:$B$21))</f>
        <v/>
      </c>
      <c r="G2382">
        <f>H2381+E2382</f>
        <v/>
      </c>
      <c r="H2382">
        <f>G2382-MIN(F2382,G2382)</f>
        <v/>
      </c>
      <c r="I2382">
        <f>MIN(F2382-MIN(F2382,G2382),D2382)</f>
        <v/>
      </c>
      <c r="J2382">
        <f>D2382-I2382</f>
        <v/>
      </c>
      <c r="K2382">
        <f>F2382-MIN(F2382,G2382)-I2382</f>
        <v/>
      </c>
    </row>
    <row r="2383">
      <c r="A2383" s="21">
        <f>IF(Rechner!$E$4&lt;&gt;"ok","",IF(Rechner!$E$5+2381&lt;=Rechner!$B$6,Rechner!$E$5+2381,""))</f>
        <v/>
      </c>
      <c r="B2383">
        <f>IF(A2383="","",LOOKUP(A2383,Basiszins!$A$5:$A$18,Basiszins!$B$5:$B$18))</f>
        <v/>
      </c>
      <c r="C2383">
        <f>IF(A2383="","",B2383+Rechner!$E$7)</f>
        <v/>
      </c>
      <c r="D2383">
        <f>J2382</f>
        <v/>
      </c>
      <c r="E2383">
        <f>IF(A2383="",0,D2383*C2383/100/(DATE(YEAR(A2383)+1,1,1)-DATE(YEAR(A2383),1,1)))</f>
        <v/>
      </c>
      <c r="F2383">
        <f>IF(A2383="",0,SUMIF(Rechner!$A$12:$A$21,A2383,Rechner!$B$12:$B$21))</f>
        <v/>
      </c>
      <c r="G2383">
        <f>H2382+E2383</f>
        <v/>
      </c>
      <c r="H2383">
        <f>G2383-MIN(F2383,G2383)</f>
        <v/>
      </c>
      <c r="I2383">
        <f>MIN(F2383-MIN(F2383,G2383),D2383)</f>
        <v/>
      </c>
      <c r="J2383">
        <f>D2383-I2383</f>
        <v/>
      </c>
      <c r="K2383">
        <f>F2383-MIN(F2383,G2383)-I2383</f>
        <v/>
      </c>
    </row>
    <row r="2384">
      <c r="A2384" s="21">
        <f>IF(Rechner!$E$4&lt;&gt;"ok","",IF(Rechner!$E$5+2382&lt;=Rechner!$B$6,Rechner!$E$5+2382,""))</f>
        <v/>
      </c>
      <c r="B2384">
        <f>IF(A2384="","",LOOKUP(A2384,Basiszins!$A$5:$A$18,Basiszins!$B$5:$B$18))</f>
        <v/>
      </c>
      <c r="C2384">
        <f>IF(A2384="","",B2384+Rechner!$E$7)</f>
        <v/>
      </c>
      <c r="D2384">
        <f>J2383</f>
        <v/>
      </c>
      <c r="E2384">
        <f>IF(A2384="",0,D2384*C2384/100/(DATE(YEAR(A2384)+1,1,1)-DATE(YEAR(A2384),1,1)))</f>
        <v/>
      </c>
      <c r="F2384">
        <f>IF(A2384="",0,SUMIF(Rechner!$A$12:$A$21,A2384,Rechner!$B$12:$B$21))</f>
        <v/>
      </c>
      <c r="G2384">
        <f>H2383+E2384</f>
        <v/>
      </c>
      <c r="H2384">
        <f>G2384-MIN(F2384,G2384)</f>
        <v/>
      </c>
      <c r="I2384">
        <f>MIN(F2384-MIN(F2384,G2384),D2384)</f>
        <v/>
      </c>
      <c r="J2384">
        <f>D2384-I2384</f>
        <v/>
      </c>
      <c r="K2384">
        <f>F2384-MIN(F2384,G2384)-I2384</f>
        <v/>
      </c>
    </row>
    <row r="2385">
      <c r="A2385" s="21">
        <f>IF(Rechner!$E$4&lt;&gt;"ok","",IF(Rechner!$E$5+2383&lt;=Rechner!$B$6,Rechner!$E$5+2383,""))</f>
        <v/>
      </c>
      <c r="B2385">
        <f>IF(A2385="","",LOOKUP(A2385,Basiszins!$A$5:$A$18,Basiszins!$B$5:$B$18))</f>
        <v/>
      </c>
      <c r="C2385">
        <f>IF(A2385="","",B2385+Rechner!$E$7)</f>
        <v/>
      </c>
      <c r="D2385">
        <f>J2384</f>
        <v/>
      </c>
      <c r="E2385">
        <f>IF(A2385="",0,D2385*C2385/100/(DATE(YEAR(A2385)+1,1,1)-DATE(YEAR(A2385),1,1)))</f>
        <v/>
      </c>
      <c r="F2385">
        <f>IF(A2385="",0,SUMIF(Rechner!$A$12:$A$21,A2385,Rechner!$B$12:$B$21))</f>
        <v/>
      </c>
      <c r="G2385">
        <f>H2384+E2385</f>
        <v/>
      </c>
      <c r="H2385">
        <f>G2385-MIN(F2385,G2385)</f>
        <v/>
      </c>
      <c r="I2385">
        <f>MIN(F2385-MIN(F2385,G2385),D2385)</f>
        <v/>
      </c>
      <c r="J2385">
        <f>D2385-I2385</f>
        <v/>
      </c>
      <c r="K2385">
        <f>F2385-MIN(F2385,G2385)-I2385</f>
        <v/>
      </c>
    </row>
    <row r="2386">
      <c r="A2386" s="21">
        <f>IF(Rechner!$E$4&lt;&gt;"ok","",IF(Rechner!$E$5+2384&lt;=Rechner!$B$6,Rechner!$E$5+2384,""))</f>
        <v/>
      </c>
      <c r="B2386">
        <f>IF(A2386="","",LOOKUP(A2386,Basiszins!$A$5:$A$18,Basiszins!$B$5:$B$18))</f>
        <v/>
      </c>
      <c r="C2386">
        <f>IF(A2386="","",B2386+Rechner!$E$7)</f>
        <v/>
      </c>
      <c r="D2386">
        <f>J2385</f>
        <v/>
      </c>
      <c r="E2386">
        <f>IF(A2386="",0,D2386*C2386/100/(DATE(YEAR(A2386)+1,1,1)-DATE(YEAR(A2386),1,1)))</f>
        <v/>
      </c>
      <c r="F2386">
        <f>IF(A2386="",0,SUMIF(Rechner!$A$12:$A$21,A2386,Rechner!$B$12:$B$21))</f>
        <v/>
      </c>
      <c r="G2386">
        <f>H2385+E2386</f>
        <v/>
      </c>
      <c r="H2386">
        <f>G2386-MIN(F2386,G2386)</f>
        <v/>
      </c>
      <c r="I2386">
        <f>MIN(F2386-MIN(F2386,G2386),D2386)</f>
        <v/>
      </c>
      <c r="J2386">
        <f>D2386-I2386</f>
        <v/>
      </c>
      <c r="K2386">
        <f>F2386-MIN(F2386,G2386)-I2386</f>
        <v/>
      </c>
    </row>
    <row r="2387">
      <c r="A2387" s="21">
        <f>IF(Rechner!$E$4&lt;&gt;"ok","",IF(Rechner!$E$5+2385&lt;=Rechner!$B$6,Rechner!$E$5+2385,""))</f>
        <v/>
      </c>
      <c r="B2387">
        <f>IF(A2387="","",LOOKUP(A2387,Basiszins!$A$5:$A$18,Basiszins!$B$5:$B$18))</f>
        <v/>
      </c>
      <c r="C2387">
        <f>IF(A2387="","",B2387+Rechner!$E$7)</f>
        <v/>
      </c>
      <c r="D2387">
        <f>J2386</f>
        <v/>
      </c>
      <c r="E2387">
        <f>IF(A2387="",0,D2387*C2387/100/(DATE(YEAR(A2387)+1,1,1)-DATE(YEAR(A2387),1,1)))</f>
        <v/>
      </c>
      <c r="F2387">
        <f>IF(A2387="",0,SUMIF(Rechner!$A$12:$A$21,A2387,Rechner!$B$12:$B$21))</f>
        <v/>
      </c>
      <c r="G2387">
        <f>H2386+E2387</f>
        <v/>
      </c>
      <c r="H2387">
        <f>G2387-MIN(F2387,G2387)</f>
        <v/>
      </c>
      <c r="I2387">
        <f>MIN(F2387-MIN(F2387,G2387),D2387)</f>
        <v/>
      </c>
      <c r="J2387">
        <f>D2387-I2387</f>
        <v/>
      </c>
      <c r="K2387">
        <f>F2387-MIN(F2387,G2387)-I2387</f>
        <v/>
      </c>
    </row>
    <row r="2388">
      <c r="A2388" s="21">
        <f>IF(Rechner!$E$4&lt;&gt;"ok","",IF(Rechner!$E$5+2386&lt;=Rechner!$B$6,Rechner!$E$5+2386,""))</f>
        <v/>
      </c>
      <c r="B2388">
        <f>IF(A2388="","",LOOKUP(A2388,Basiszins!$A$5:$A$18,Basiszins!$B$5:$B$18))</f>
        <v/>
      </c>
      <c r="C2388">
        <f>IF(A2388="","",B2388+Rechner!$E$7)</f>
        <v/>
      </c>
      <c r="D2388">
        <f>J2387</f>
        <v/>
      </c>
      <c r="E2388">
        <f>IF(A2388="",0,D2388*C2388/100/(DATE(YEAR(A2388)+1,1,1)-DATE(YEAR(A2388),1,1)))</f>
        <v/>
      </c>
      <c r="F2388">
        <f>IF(A2388="",0,SUMIF(Rechner!$A$12:$A$21,A2388,Rechner!$B$12:$B$21))</f>
        <v/>
      </c>
      <c r="G2388">
        <f>H2387+E2388</f>
        <v/>
      </c>
      <c r="H2388">
        <f>G2388-MIN(F2388,G2388)</f>
        <v/>
      </c>
      <c r="I2388">
        <f>MIN(F2388-MIN(F2388,G2388),D2388)</f>
        <v/>
      </c>
      <c r="J2388">
        <f>D2388-I2388</f>
        <v/>
      </c>
      <c r="K2388">
        <f>F2388-MIN(F2388,G2388)-I2388</f>
        <v/>
      </c>
    </row>
    <row r="2389">
      <c r="A2389" s="21">
        <f>IF(Rechner!$E$4&lt;&gt;"ok","",IF(Rechner!$E$5+2387&lt;=Rechner!$B$6,Rechner!$E$5+2387,""))</f>
        <v/>
      </c>
      <c r="B2389">
        <f>IF(A2389="","",LOOKUP(A2389,Basiszins!$A$5:$A$18,Basiszins!$B$5:$B$18))</f>
        <v/>
      </c>
      <c r="C2389">
        <f>IF(A2389="","",B2389+Rechner!$E$7)</f>
        <v/>
      </c>
      <c r="D2389">
        <f>J2388</f>
        <v/>
      </c>
      <c r="E2389">
        <f>IF(A2389="",0,D2389*C2389/100/(DATE(YEAR(A2389)+1,1,1)-DATE(YEAR(A2389),1,1)))</f>
        <v/>
      </c>
      <c r="F2389">
        <f>IF(A2389="",0,SUMIF(Rechner!$A$12:$A$21,A2389,Rechner!$B$12:$B$21))</f>
        <v/>
      </c>
      <c r="G2389">
        <f>H2388+E2389</f>
        <v/>
      </c>
      <c r="H2389">
        <f>G2389-MIN(F2389,G2389)</f>
        <v/>
      </c>
      <c r="I2389">
        <f>MIN(F2389-MIN(F2389,G2389),D2389)</f>
        <v/>
      </c>
      <c r="J2389">
        <f>D2389-I2389</f>
        <v/>
      </c>
      <c r="K2389">
        <f>F2389-MIN(F2389,G2389)-I2389</f>
        <v/>
      </c>
    </row>
    <row r="2390">
      <c r="A2390" s="21">
        <f>IF(Rechner!$E$4&lt;&gt;"ok","",IF(Rechner!$E$5+2388&lt;=Rechner!$B$6,Rechner!$E$5+2388,""))</f>
        <v/>
      </c>
      <c r="B2390">
        <f>IF(A2390="","",LOOKUP(A2390,Basiszins!$A$5:$A$18,Basiszins!$B$5:$B$18))</f>
        <v/>
      </c>
      <c r="C2390">
        <f>IF(A2390="","",B2390+Rechner!$E$7)</f>
        <v/>
      </c>
      <c r="D2390">
        <f>J2389</f>
        <v/>
      </c>
      <c r="E2390">
        <f>IF(A2390="",0,D2390*C2390/100/(DATE(YEAR(A2390)+1,1,1)-DATE(YEAR(A2390),1,1)))</f>
        <v/>
      </c>
      <c r="F2390">
        <f>IF(A2390="",0,SUMIF(Rechner!$A$12:$A$21,A2390,Rechner!$B$12:$B$21))</f>
        <v/>
      </c>
      <c r="G2390">
        <f>H2389+E2390</f>
        <v/>
      </c>
      <c r="H2390">
        <f>G2390-MIN(F2390,G2390)</f>
        <v/>
      </c>
      <c r="I2390">
        <f>MIN(F2390-MIN(F2390,G2390),D2390)</f>
        <v/>
      </c>
      <c r="J2390">
        <f>D2390-I2390</f>
        <v/>
      </c>
      <c r="K2390">
        <f>F2390-MIN(F2390,G2390)-I2390</f>
        <v/>
      </c>
    </row>
    <row r="2391">
      <c r="A2391" s="21">
        <f>IF(Rechner!$E$4&lt;&gt;"ok","",IF(Rechner!$E$5+2389&lt;=Rechner!$B$6,Rechner!$E$5+2389,""))</f>
        <v/>
      </c>
      <c r="B2391">
        <f>IF(A2391="","",LOOKUP(A2391,Basiszins!$A$5:$A$18,Basiszins!$B$5:$B$18))</f>
        <v/>
      </c>
      <c r="C2391">
        <f>IF(A2391="","",B2391+Rechner!$E$7)</f>
        <v/>
      </c>
      <c r="D2391">
        <f>J2390</f>
        <v/>
      </c>
      <c r="E2391">
        <f>IF(A2391="",0,D2391*C2391/100/(DATE(YEAR(A2391)+1,1,1)-DATE(YEAR(A2391),1,1)))</f>
        <v/>
      </c>
      <c r="F2391">
        <f>IF(A2391="",0,SUMIF(Rechner!$A$12:$A$21,A2391,Rechner!$B$12:$B$21))</f>
        <v/>
      </c>
      <c r="G2391">
        <f>H2390+E2391</f>
        <v/>
      </c>
      <c r="H2391">
        <f>G2391-MIN(F2391,G2391)</f>
        <v/>
      </c>
      <c r="I2391">
        <f>MIN(F2391-MIN(F2391,G2391),D2391)</f>
        <v/>
      </c>
      <c r="J2391">
        <f>D2391-I2391</f>
        <v/>
      </c>
      <c r="K2391">
        <f>F2391-MIN(F2391,G2391)-I2391</f>
        <v/>
      </c>
    </row>
    <row r="2392">
      <c r="A2392" s="21">
        <f>IF(Rechner!$E$4&lt;&gt;"ok","",IF(Rechner!$E$5+2390&lt;=Rechner!$B$6,Rechner!$E$5+2390,""))</f>
        <v/>
      </c>
      <c r="B2392">
        <f>IF(A2392="","",LOOKUP(A2392,Basiszins!$A$5:$A$18,Basiszins!$B$5:$B$18))</f>
        <v/>
      </c>
      <c r="C2392">
        <f>IF(A2392="","",B2392+Rechner!$E$7)</f>
        <v/>
      </c>
      <c r="D2392">
        <f>J2391</f>
        <v/>
      </c>
      <c r="E2392">
        <f>IF(A2392="",0,D2392*C2392/100/(DATE(YEAR(A2392)+1,1,1)-DATE(YEAR(A2392),1,1)))</f>
        <v/>
      </c>
      <c r="F2392">
        <f>IF(A2392="",0,SUMIF(Rechner!$A$12:$A$21,A2392,Rechner!$B$12:$B$21))</f>
        <v/>
      </c>
      <c r="G2392">
        <f>H2391+E2392</f>
        <v/>
      </c>
      <c r="H2392">
        <f>G2392-MIN(F2392,G2392)</f>
        <v/>
      </c>
      <c r="I2392">
        <f>MIN(F2392-MIN(F2392,G2392),D2392)</f>
        <v/>
      </c>
      <c r="J2392">
        <f>D2392-I2392</f>
        <v/>
      </c>
      <c r="K2392">
        <f>F2392-MIN(F2392,G2392)-I2392</f>
        <v/>
      </c>
    </row>
    <row r="2393">
      <c r="A2393" s="21">
        <f>IF(Rechner!$E$4&lt;&gt;"ok","",IF(Rechner!$E$5+2391&lt;=Rechner!$B$6,Rechner!$E$5+2391,""))</f>
        <v/>
      </c>
      <c r="B2393">
        <f>IF(A2393="","",LOOKUP(A2393,Basiszins!$A$5:$A$18,Basiszins!$B$5:$B$18))</f>
        <v/>
      </c>
      <c r="C2393">
        <f>IF(A2393="","",B2393+Rechner!$E$7)</f>
        <v/>
      </c>
      <c r="D2393">
        <f>J2392</f>
        <v/>
      </c>
      <c r="E2393">
        <f>IF(A2393="",0,D2393*C2393/100/(DATE(YEAR(A2393)+1,1,1)-DATE(YEAR(A2393),1,1)))</f>
        <v/>
      </c>
      <c r="F2393">
        <f>IF(A2393="",0,SUMIF(Rechner!$A$12:$A$21,A2393,Rechner!$B$12:$B$21))</f>
        <v/>
      </c>
      <c r="G2393">
        <f>H2392+E2393</f>
        <v/>
      </c>
      <c r="H2393">
        <f>G2393-MIN(F2393,G2393)</f>
        <v/>
      </c>
      <c r="I2393">
        <f>MIN(F2393-MIN(F2393,G2393),D2393)</f>
        <v/>
      </c>
      <c r="J2393">
        <f>D2393-I2393</f>
        <v/>
      </c>
      <c r="K2393">
        <f>F2393-MIN(F2393,G2393)-I2393</f>
        <v/>
      </c>
    </row>
    <row r="2394">
      <c r="A2394" s="21">
        <f>IF(Rechner!$E$4&lt;&gt;"ok","",IF(Rechner!$E$5+2392&lt;=Rechner!$B$6,Rechner!$E$5+2392,""))</f>
        <v/>
      </c>
      <c r="B2394">
        <f>IF(A2394="","",LOOKUP(A2394,Basiszins!$A$5:$A$18,Basiszins!$B$5:$B$18))</f>
        <v/>
      </c>
      <c r="C2394">
        <f>IF(A2394="","",B2394+Rechner!$E$7)</f>
        <v/>
      </c>
      <c r="D2394">
        <f>J2393</f>
        <v/>
      </c>
      <c r="E2394">
        <f>IF(A2394="",0,D2394*C2394/100/(DATE(YEAR(A2394)+1,1,1)-DATE(YEAR(A2394),1,1)))</f>
        <v/>
      </c>
      <c r="F2394">
        <f>IF(A2394="",0,SUMIF(Rechner!$A$12:$A$21,A2394,Rechner!$B$12:$B$21))</f>
        <v/>
      </c>
      <c r="G2394">
        <f>H2393+E2394</f>
        <v/>
      </c>
      <c r="H2394">
        <f>G2394-MIN(F2394,G2394)</f>
        <v/>
      </c>
      <c r="I2394">
        <f>MIN(F2394-MIN(F2394,G2394),D2394)</f>
        <v/>
      </c>
      <c r="J2394">
        <f>D2394-I2394</f>
        <v/>
      </c>
      <c r="K2394">
        <f>F2394-MIN(F2394,G2394)-I2394</f>
        <v/>
      </c>
    </row>
    <row r="2395">
      <c r="A2395" s="21">
        <f>IF(Rechner!$E$4&lt;&gt;"ok","",IF(Rechner!$E$5+2393&lt;=Rechner!$B$6,Rechner!$E$5+2393,""))</f>
        <v/>
      </c>
      <c r="B2395">
        <f>IF(A2395="","",LOOKUP(A2395,Basiszins!$A$5:$A$18,Basiszins!$B$5:$B$18))</f>
        <v/>
      </c>
      <c r="C2395">
        <f>IF(A2395="","",B2395+Rechner!$E$7)</f>
        <v/>
      </c>
      <c r="D2395">
        <f>J2394</f>
        <v/>
      </c>
      <c r="E2395">
        <f>IF(A2395="",0,D2395*C2395/100/(DATE(YEAR(A2395)+1,1,1)-DATE(YEAR(A2395),1,1)))</f>
        <v/>
      </c>
      <c r="F2395">
        <f>IF(A2395="",0,SUMIF(Rechner!$A$12:$A$21,A2395,Rechner!$B$12:$B$21))</f>
        <v/>
      </c>
      <c r="G2395">
        <f>H2394+E2395</f>
        <v/>
      </c>
      <c r="H2395">
        <f>G2395-MIN(F2395,G2395)</f>
        <v/>
      </c>
      <c r="I2395">
        <f>MIN(F2395-MIN(F2395,G2395),D2395)</f>
        <v/>
      </c>
      <c r="J2395">
        <f>D2395-I2395</f>
        <v/>
      </c>
      <c r="K2395">
        <f>F2395-MIN(F2395,G2395)-I2395</f>
        <v/>
      </c>
    </row>
    <row r="2396">
      <c r="A2396" s="21">
        <f>IF(Rechner!$E$4&lt;&gt;"ok","",IF(Rechner!$E$5+2394&lt;=Rechner!$B$6,Rechner!$E$5+2394,""))</f>
        <v/>
      </c>
      <c r="B2396">
        <f>IF(A2396="","",LOOKUP(A2396,Basiszins!$A$5:$A$18,Basiszins!$B$5:$B$18))</f>
        <v/>
      </c>
      <c r="C2396">
        <f>IF(A2396="","",B2396+Rechner!$E$7)</f>
        <v/>
      </c>
      <c r="D2396">
        <f>J2395</f>
        <v/>
      </c>
      <c r="E2396">
        <f>IF(A2396="",0,D2396*C2396/100/(DATE(YEAR(A2396)+1,1,1)-DATE(YEAR(A2396),1,1)))</f>
        <v/>
      </c>
      <c r="F2396">
        <f>IF(A2396="",0,SUMIF(Rechner!$A$12:$A$21,A2396,Rechner!$B$12:$B$21))</f>
        <v/>
      </c>
      <c r="G2396">
        <f>H2395+E2396</f>
        <v/>
      </c>
      <c r="H2396">
        <f>G2396-MIN(F2396,G2396)</f>
        <v/>
      </c>
      <c r="I2396">
        <f>MIN(F2396-MIN(F2396,G2396),D2396)</f>
        <v/>
      </c>
      <c r="J2396">
        <f>D2396-I2396</f>
        <v/>
      </c>
      <c r="K2396">
        <f>F2396-MIN(F2396,G2396)-I2396</f>
        <v/>
      </c>
    </row>
    <row r="2397">
      <c r="A2397" s="21">
        <f>IF(Rechner!$E$4&lt;&gt;"ok","",IF(Rechner!$E$5+2395&lt;=Rechner!$B$6,Rechner!$E$5+2395,""))</f>
        <v/>
      </c>
      <c r="B2397">
        <f>IF(A2397="","",LOOKUP(A2397,Basiszins!$A$5:$A$18,Basiszins!$B$5:$B$18))</f>
        <v/>
      </c>
      <c r="C2397">
        <f>IF(A2397="","",B2397+Rechner!$E$7)</f>
        <v/>
      </c>
      <c r="D2397">
        <f>J2396</f>
        <v/>
      </c>
      <c r="E2397">
        <f>IF(A2397="",0,D2397*C2397/100/(DATE(YEAR(A2397)+1,1,1)-DATE(YEAR(A2397),1,1)))</f>
        <v/>
      </c>
      <c r="F2397">
        <f>IF(A2397="",0,SUMIF(Rechner!$A$12:$A$21,A2397,Rechner!$B$12:$B$21))</f>
        <v/>
      </c>
      <c r="G2397">
        <f>H2396+E2397</f>
        <v/>
      </c>
      <c r="H2397">
        <f>G2397-MIN(F2397,G2397)</f>
        <v/>
      </c>
      <c r="I2397">
        <f>MIN(F2397-MIN(F2397,G2397),D2397)</f>
        <v/>
      </c>
      <c r="J2397">
        <f>D2397-I2397</f>
        <v/>
      </c>
      <c r="K2397">
        <f>F2397-MIN(F2397,G2397)-I2397</f>
        <v/>
      </c>
    </row>
    <row r="2398">
      <c r="A2398" s="21">
        <f>IF(Rechner!$E$4&lt;&gt;"ok","",IF(Rechner!$E$5+2396&lt;=Rechner!$B$6,Rechner!$E$5+2396,""))</f>
        <v/>
      </c>
      <c r="B2398">
        <f>IF(A2398="","",LOOKUP(A2398,Basiszins!$A$5:$A$18,Basiszins!$B$5:$B$18))</f>
        <v/>
      </c>
      <c r="C2398">
        <f>IF(A2398="","",B2398+Rechner!$E$7)</f>
        <v/>
      </c>
      <c r="D2398">
        <f>J2397</f>
        <v/>
      </c>
      <c r="E2398">
        <f>IF(A2398="",0,D2398*C2398/100/(DATE(YEAR(A2398)+1,1,1)-DATE(YEAR(A2398),1,1)))</f>
        <v/>
      </c>
      <c r="F2398">
        <f>IF(A2398="",0,SUMIF(Rechner!$A$12:$A$21,A2398,Rechner!$B$12:$B$21))</f>
        <v/>
      </c>
      <c r="G2398">
        <f>H2397+E2398</f>
        <v/>
      </c>
      <c r="H2398">
        <f>G2398-MIN(F2398,G2398)</f>
        <v/>
      </c>
      <c r="I2398">
        <f>MIN(F2398-MIN(F2398,G2398),D2398)</f>
        <v/>
      </c>
      <c r="J2398">
        <f>D2398-I2398</f>
        <v/>
      </c>
      <c r="K2398">
        <f>F2398-MIN(F2398,G2398)-I2398</f>
        <v/>
      </c>
    </row>
    <row r="2399">
      <c r="A2399" s="21">
        <f>IF(Rechner!$E$4&lt;&gt;"ok","",IF(Rechner!$E$5+2397&lt;=Rechner!$B$6,Rechner!$E$5+2397,""))</f>
        <v/>
      </c>
      <c r="B2399">
        <f>IF(A2399="","",LOOKUP(A2399,Basiszins!$A$5:$A$18,Basiszins!$B$5:$B$18))</f>
        <v/>
      </c>
      <c r="C2399">
        <f>IF(A2399="","",B2399+Rechner!$E$7)</f>
        <v/>
      </c>
      <c r="D2399">
        <f>J2398</f>
        <v/>
      </c>
      <c r="E2399">
        <f>IF(A2399="",0,D2399*C2399/100/(DATE(YEAR(A2399)+1,1,1)-DATE(YEAR(A2399),1,1)))</f>
        <v/>
      </c>
      <c r="F2399">
        <f>IF(A2399="",0,SUMIF(Rechner!$A$12:$A$21,A2399,Rechner!$B$12:$B$21))</f>
        <v/>
      </c>
      <c r="G2399">
        <f>H2398+E2399</f>
        <v/>
      </c>
      <c r="H2399">
        <f>G2399-MIN(F2399,G2399)</f>
        <v/>
      </c>
      <c r="I2399">
        <f>MIN(F2399-MIN(F2399,G2399),D2399)</f>
        <v/>
      </c>
      <c r="J2399">
        <f>D2399-I2399</f>
        <v/>
      </c>
      <c r="K2399">
        <f>F2399-MIN(F2399,G2399)-I2399</f>
        <v/>
      </c>
    </row>
    <row r="2400">
      <c r="A2400" s="21">
        <f>IF(Rechner!$E$4&lt;&gt;"ok","",IF(Rechner!$E$5+2398&lt;=Rechner!$B$6,Rechner!$E$5+2398,""))</f>
        <v/>
      </c>
      <c r="B2400">
        <f>IF(A2400="","",LOOKUP(A2400,Basiszins!$A$5:$A$18,Basiszins!$B$5:$B$18))</f>
        <v/>
      </c>
      <c r="C2400">
        <f>IF(A2400="","",B2400+Rechner!$E$7)</f>
        <v/>
      </c>
      <c r="D2400">
        <f>J2399</f>
        <v/>
      </c>
      <c r="E2400">
        <f>IF(A2400="",0,D2400*C2400/100/(DATE(YEAR(A2400)+1,1,1)-DATE(YEAR(A2400),1,1)))</f>
        <v/>
      </c>
      <c r="F2400">
        <f>IF(A2400="",0,SUMIF(Rechner!$A$12:$A$21,A2400,Rechner!$B$12:$B$21))</f>
        <v/>
      </c>
      <c r="G2400">
        <f>H2399+E2400</f>
        <v/>
      </c>
      <c r="H2400">
        <f>G2400-MIN(F2400,G2400)</f>
        <v/>
      </c>
      <c r="I2400">
        <f>MIN(F2400-MIN(F2400,G2400),D2400)</f>
        <v/>
      </c>
      <c r="J2400">
        <f>D2400-I2400</f>
        <v/>
      </c>
      <c r="K2400">
        <f>F2400-MIN(F2400,G2400)-I2400</f>
        <v/>
      </c>
    </row>
    <row r="2401">
      <c r="A2401" s="21">
        <f>IF(Rechner!$E$4&lt;&gt;"ok","",IF(Rechner!$E$5+2399&lt;=Rechner!$B$6,Rechner!$E$5+2399,""))</f>
        <v/>
      </c>
      <c r="B2401">
        <f>IF(A2401="","",LOOKUP(A2401,Basiszins!$A$5:$A$18,Basiszins!$B$5:$B$18))</f>
        <v/>
      </c>
      <c r="C2401">
        <f>IF(A2401="","",B2401+Rechner!$E$7)</f>
        <v/>
      </c>
      <c r="D2401">
        <f>J2400</f>
        <v/>
      </c>
      <c r="E2401">
        <f>IF(A2401="",0,D2401*C2401/100/(DATE(YEAR(A2401)+1,1,1)-DATE(YEAR(A2401),1,1)))</f>
        <v/>
      </c>
      <c r="F2401">
        <f>IF(A2401="",0,SUMIF(Rechner!$A$12:$A$21,A2401,Rechner!$B$12:$B$21))</f>
        <v/>
      </c>
      <c r="G2401">
        <f>H2400+E2401</f>
        <v/>
      </c>
      <c r="H2401">
        <f>G2401-MIN(F2401,G2401)</f>
        <v/>
      </c>
      <c r="I2401">
        <f>MIN(F2401-MIN(F2401,G2401),D2401)</f>
        <v/>
      </c>
      <c r="J2401">
        <f>D2401-I2401</f>
        <v/>
      </c>
      <c r="K2401">
        <f>F2401-MIN(F2401,G2401)-I2401</f>
        <v/>
      </c>
    </row>
    <row r="2402">
      <c r="A2402" s="21">
        <f>IF(Rechner!$E$4&lt;&gt;"ok","",IF(Rechner!$E$5+2400&lt;=Rechner!$B$6,Rechner!$E$5+2400,""))</f>
        <v/>
      </c>
      <c r="B2402">
        <f>IF(A2402="","",LOOKUP(A2402,Basiszins!$A$5:$A$18,Basiszins!$B$5:$B$18))</f>
        <v/>
      </c>
      <c r="C2402">
        <f>IF(A2402="","",B2402+Rechner!$E$7)</f>
        <v/>
      </c>
      <c r="D2402">
        <f>J2401</f>
        <v/>
      </c>
      <c r="E2402">
        <f>IF(A2402="",0,D2402*C2402/100/(DATE(YEAR(A2402)+1,1,1)-DATE(YEAR(A2402),1,1)))</f>
        <v/>
      </c>
      <c r="F2402">
        <f>IF(A2402="",0,SUMIF(Rechner!$A$12:$A$21,A2402,Rechner!$B$12:$B$21))</f>
        <v/>
      </c>
      <c r="G2402">
        <f>H2401+E2402</f>
        <v/>
      </c>
      <c r="H2402">
        <f>G2402-MIN(F2402,G2402)</f>
        <v/>
      </c>
      <c r="I2402">
        <f>MIN(F2402-MIN(F2402,G2402),D2402)</f>
        <v/>
      </c>
      <c r="J2402">
        <f>D2402-I2402</f>
        <v/>
      </c>
      <c r="K2402">
        <f>F2402-MIN(F2402,G2402)-I2402</f>
        <v/>
      </c>
    </row>
    <row r="2403">
      <c r="A2403" s="21">
        <f>IF(Rechner!$E$4&lt;&gt;"ok","",IF(Rechner!$E$5+2401&lt;=Rechner!$B$6,Rechner!$E$5+2401,""))</f>
        <v/>
      </c>
      <c r="B2403">
        <f>IF(A2403="","",LOOKUP(A2403,Basiszins!$A$5:$A$18,Basiszins!$B$5:$B$18))</f>
        <v/>
      </c>
      <c r="C2403">
        <f>IF(A2403="","",B2403+Rechner!$E$7)</f>
        <v/>
      </c>
      <c r="D2403">
        <f>J2402</f>
        <v/>
      </c>
      <c r="E2403">
        <f>IF(A2403="",0,D2403*C2403/100/(DATE(YEAR(A2403)+1,1,1)-DATE(YEAR(A2403),1,1)))</f>
        <v/>
      </c>
      <c r="F2403">
        <f>IF(A2403="",0,SUMIF(Rechner!$A$12:$A$21,A2403,Rechner!$B$12:$B$21))</f>
        <v/>
      </c>
      <c r="G2403">
        <f>H2402+E2403</f>
        <v/>
      </c>
      <c r="H2403">
        <f>G2403-MIN(F2403,G2403)</f>
        <v/>
      </c>
      <c r="I2403">
        <f>MIN(F2403-MIN(F2403,G2403),D2403)</f>
        <v/>
      </c>
      <c r="J2403">
        <f>D2403-I2403</f>
        <v/>
      </c>
      <c r="K2403">
        <f>F2403-MIN(F2403,G2403)-I2403</f>
        <v/>
      </c>
    </row>
    <row r="2404">
      <c r="A2404" s="21">
        <f>IF(Rechner!$E$4&lt;&gt;"ok","",IF(Rechner!$E$5+2402&lt;=Rechner!$B$6,Rechner!$E$5+2402,""))</f>
        <v/>
      </c>
      <c r="B2404">
        <f>IF(A2404="","",LOOKUP(A2404,Basiszins!$A$5:$A$18,Basiszins!$B$5:$B$18))</f>
        <v/>
      </c>
      <c r="C2404">
        <f>IF(A2404="","",B2404+Rechner!$E$7)</f>
        <v/>
      </c>
      <c r="D2404">
        <f>J2403</f>
        <v/>
      </c>
      <c r="E2404">
        <f>IF(A2404="",0,D2404*C2404/100/(DATE(YEAR(A2404)+1,1,1)-DATE(YEAR(A2404),1,1)))</f>
        <v/>
      </c>
      <c r="F2404">
        <f>IF(A2404="",0,SUMIF(Rechner!$A$12:$A$21,A2404,Rechner!$B$12:$B$21))</f>
        <v/>
      </c>
      <c r="G2404">
        <f>H2403+E2404</f>
        <v/>
      </c>
      <c r="H2404">
        <f>G2404-MIN(F2404,G2404)</f>
        <v/>
      </c>
      <c r="I2404">
        <f>MIN(F2404-MIN(F2404,G2404),D2404)</f>
        <v/>
      </c>
      <c r="J2404">
        <f>D2404-I2404</f>
        <v/>
      </c>
      <c r="K2404">
        <f>F2404-MIN(F2404,G2404)-I2404</f>
        <v/>
      </c>
    </row>
    <row r="2405">
      <c r="A2405" s="21">
        <f>IF(Rechner!$E$4&lt;&gt;"ok","",IF(Rechner!$E$5+2403&lt;=Rechner!$B$6,Rechner!$E$5+2403,""))</f>
        <v/>
      </c>
      <c r="B2405">
        <f>IF(A2405="","",LOOKUP(A2405,Basiszins!$A$5:$A$18,Basiszins!$B$5:$B$18))</f>
        <v/>
      </c>
      <c r="C2405">
        <f>IF(A2405="","",B2405+Rechner!$E$7)</f>
        <v/>
      </c>
      <c r="D2405">
        <f>J2404</f>
        <v/>
      </c>
      <c r="E2405">
        <f>IF(A2405="",0,D2405*C2405/100/(DATE(YEAR(A2405)+1,1,1)-DATE(YEAR(A2405),1,1)))</f>
        <v/>
      </c>
      <c r="F2405">
        <f>IF(A2405="",0,SUMIF(Rechner!$A$12:$A$21,A2405,Rechner!$B$12:$B$21))</f>
        <v/>
      </c>
      <c r="G2405">
        <f>H2404+E2405</f>
        <v/>
      </c>
      <c r="H2405">
        <f>G2405-MIN(F2405,G2405)</f>
        <v/>
      </c>
      <c r="I2405">
        <f>MIN(F2405-MIN(F2405,G2405),D2405)</f>
        <v/>
      </c>
      <c r="J2405">
        <f>D2405-I2405</f>
        <v/>
      </c>
      <c r="K2405">
        <f>F2405-MIN(F2405,G2405)-I2405</f>
        <v/>
      </c>
    </row>
    <row r="2406">
      <c r="A2406" s="21">
        <f>IF(Rechner!$E$4&lt;&gt;"ok","",IF(Rechner!$E$5+2404&lt;=Rechner!$B$6,Rechner!$E$5+2404,""))</f>
        <v/>
      </c>
      <c r="B2406">
        <f>IF(A2406="","",LOOKUP(A2406,Basiszins!$A$5:$A$18,Basiszins!$B$5:$B$18))</f>
        <v/>
      </c>
      <c r="C2406">
        <f>IF(A2406="","",B2406+Rechner!$E$7)</f>
        <v/>
      </c>
      <c r="D2406">
        <f>J2405</f>
        <v/>
      </c>
      <c r="E2406">
        <f>IF(A2406="",0,D2406*C2406/100/(DATE(YEAR(A2406)+1,1,1)-DATE(YEAR(A2406),1,1)))</f>
        <v/>
      </c>
      <c r="F2406">
        <f>IF(A2406="",0,SUMIF(Rechner!$A$12:$A$21,A2406,Rechner!$B$12:$B$21))</f>
        <v/>
      </c>
      <c r="G2406">
        <f>H2405+E2406</f>
        <v/>
      </c>
      <c r="H2406">
        <f>G2406-MIN(F2406,G2406)</f>
        <v/>
      </c>
      <c r="I2406">
        <f>MIN(F2406-MIN(F2406,G2406),D2406)</f>
        <v/>
      </c>
      <c r="J2406">
        <f>D2406-I2406</f>
        <v/>
      </c>
      <c r="K2406">
        <f>F2406-MIN(F2406,G2406)-I2406</f>
        <v/>
      </c>
    </row>
    <row r="2407">
      <c r="A2407" s="21">
        <f>IF(Rechner!$E$4&lt;&gt;"ok","",IF(Rechner!$E$5+2405&lt;=Rechner!$B$6,Rechner!$E$5+2405,""))</f>
        <v/>
      </c>
      <c r="B2407">
        <f>IF(A2407="","",LOOKUP(A2407,Basiszins!$A$5:$A$18,Basiszins!$B$5:$B$18))</f>
        <v/>
      </c>
      <c r="C2407">
        <f>IF(A2407="","",B2407+Rechner!$E$7)</f>
        <v/>
      </c>
      <c r="D2407">
        <f>J2406</f>
        <v/>
      </c>
      <c r="E2407">
        <f>IF(A2407="",0,D2407*C2407/100/(DATE(YEAR(A2407)+1,1,1)-DATE(YEAR(A2407),1,1)))</f>
        <v/>
      </c>
      <c r="F2407">
        <f>IF(A2407="",0,SUMIF(Rechner!$A$12:$A$21,A2407,Rechner!$B$12:$B$21))</f>
        <v/>
      </c>
      <c r="G2407">
        <f>H2406+E2407</f>
        <v/>
      </c>
      <c r="H2407">
        <f>G2407-MIN(F2407,G2407)</f>
        <v/>
      </c>
      <c r="I2407">
        <f>MIN(F2407-MIN(F2407,G2407),D2407)</f>
        <v/>
      </c>
      <c r="J2407">
        <f>D2407-I2407</f>
        <v/>
      </c>
      <c r="K2407">
        <f>F2407-MIN(F2407,G2407)-I2407</f>
        <v/>
      </c>
    </row>
    <row r="2408">
      <c r="A2408" s="21">
        <f>IF(Rechner!$E$4&lt;&gt;"ok","",IF(Rechner!$E$5+2406&lt;=Rechner!$B$6,Rechner!$E$5+2406,""))</f>
        <v/>
      </c>
      <c r="B2408">
        <f>IF(A2408="","",LOOKUP(A2408,Basiszins!$A$5:$A$18,Basiszins!$B$5:$B$18))</f>
        <v/>
      </c>
      <c r="C2408">
        <f>IF(A2408="","",B2408+Rechner!$E$7)</f>
        <v/>
      </c>
      <c r="D2408">
        <f>J2407</f>
        <v/>
      </c>
      <c r="E2408">
        <f>IF(A2408="",0,D2408*C2408/100/(DATE(YEAR(A2408)+1,1,1)-DATE(YEAR(A2408),1,1)))</f>
        <v/>
      </c>
      <c r="F2408">
        <f>IF(A2408="",0,SUMIF(Rechner!$A$12:$A$21,A2408,Rechner!$B$12:$B$21))</f>
        <v/>
      </c>
      <c r="G2408">
        <f>H2407+E2408</f>
        <v/>
      </c>
      <c r="H2408">
        <f>G2408-MIN(F2408,G2408)</f>
        <v/>
      </c>
      <c r="I2408">
        <f>MIN(F2408-MIN(F2408,G2408),D2408)</f>
        <v/>
      </c>
      <c r="J2408">
        <f>D2408-I2408</f>
        <v/>
      </c>
      <c r="K2408">
        <f>F2408-MIN(F2408,G2408)-I2408</f>
        <v/>
      </c>
    </row>
    <row r="2409">
      <c r="A2409" s="21">
        <f>IF(Rechner!$E$4&lt;&gt;"ok","",IF(Rechner!$E$5+2407&lt;=Rechner!$B$6,Rechner!$E$5+2407,""))</f>
        <v/>
      </c>
      <c r="B2409">
        <f>IF(A2409="","",LOOKUP(A2409,Basiszins!$A$5:$A$18,Basiszins!$B$5:$B$18))</f>
        <v/>
      </c>
      <c r="C2409">
        <f>IF(A2409="","",B2409+Rechner!$E$7)</f>
        <v/>
      </c>
      <c r="D2409">
        <f>J2408</f>
        <v/>
      </c>
      <c r="E2409">
        <f>IF(A2409="",0,D2409*C2409/100/(DATE(YEAR(A2409)+1,1,1)-DATE(YEAR(A2409),1,1)))</f>
        <v/>
      </c>
      <c r="F2409">
        <f>IF(A2409="",0,SUMIF(Rechner!$A$12:$A$21,A2409,Rechner!$B$12:$B$21))</f>
        <v/>
      </c>
      <c r="G2409">
        <f>H2408+E2409</f>
        <v/>
      </c>
      <c r="H2409">
        <f>G2409-MIN(F2409,G2409)</f>
        <v/>
      </c>
      <c r="I2409">
        <f>MIN(F2409-MIN(F2409,G2409),D2409)</f>
        <v/>
      </c>
      <c r="J2409">
        <f>D2409-I2409</f>
        <v/>
      </c>
      <c r="K2409">
        <f>F2409-MIN(F2409,G2409)-I2409</f>
        <v/>
      </c>
    </row>
    <row r="2410">
      <c r="A2410" s="21">
        <f>IF(Rechner!$E$4&lt;&gt;"ok","",IF(Rechner!$E$5+2408&lt;=Rechner!$B$6,Rechner!$E$5+2408,""))</f>
        <v/>
      </c>
      <c r="B2410">
        <f>IF(A2410="","",LOOKUP(A2410,Basiszins!$A$5:$A$18,Basiszins!$B$5:$B$18))</f>
        <v/>
      </c>
      <c r="C2410">
        <f>IF(A2410="","",B2410+Rechner!$E$7)</f>
        <v/>
      </c>
      <c r="D2410">
        <f>J2409</f>
        <v/>
      </c>
      <c r="E2410">
        <f>IF(A2410="",0,D2410*C2410/100/(DATE(YEAR(A2410)+1,1,1)-DATE(YEAR(A2410),1,1)))</f>
        <v/>
      </c>
      <c r="F2410">
        <f>IF(A2410="",0,SUMIF(Rechner!$A$12:$A$21,A2410,Rechner!$B$12:$B$21))</f>
        <v/>
      </c>
      <c r="G2410">
        <f>H2409+E2410</f>
        <v/>
      </c>
      <c r="H2410">
        <f>G2410-MIN(F2410,G2410)</f>
        <v/>
      </c>
      <c r="I2410">
        <f>MIN(F2410-MIN(F2410,G2410),D2410)</f>
        <v/>
      </c>
      <c r="J2410">
        <f>D2410-I2410</f>
        <v/>
      </c>
      <c r="K2410">
        <f>F2410-MIN(F2410,G2410)-I2410</f>
        <v/>
      </c>
    </row>
    <row r="2411">
      <c r="A2411" s="21">
        <f>IF(Rechner!$E$4&lt;&gt;"ok","",IF(Rechner!$E$5+2409&lt;=Rechner!$B$6,Rechner!$E$5+2409,""))</f>
        <v/>
      </c>
      <c r="B2411">
        <f>IF(A2411="","",LOOKUP(A2411,Basiszins!$A$5:$A$18,Basiszins!$B$5:$B$18))</f>
        <v/>
      </c>
      <c r="C2411">
        <f>IF(A2411="","",B2411+Rechner!$E$7)</f>
        <v/>
      </c>
      <c r="D2411">
        <f>J2410</f>
        <v/>
      </c>
      <c r="E2411">
        <f>IF(A2411="",0,D2411*C2411/100/(DATE(YEAR(A2411)+1,1,1)-DATE(YEAR(A2411),1,1)))</f>
        <v/>
      </c>
      <c r="F2411">
        <f>IF(A2411="",0,SUMIF(Rechner!$A$12:$A$21,A2411,Rechner!$B$12:$B$21))</f>
        <v/>
      </c>
      <c r="G2411">
        <f>H2410+E2411</f>
        <v/>
      </c>
      <c r="H2411">
        <f>G2411-MIN(F2411,G2411)</f>
        <v/>
      </c>
      <c r="I2411">
        <f>MIN(F2411-MIN(F2411,G2411),D2411)</f>
        <v/>
      </c>
      <c r="J2411">
        <f>D2411-I2411</f>
        <v/>
      </c>
      <c r="K2411">
        <f>F2411-MIN(F2411,G2411)-I2411</f>
        <v/>
      </c>
    </row>
    <row r="2412">
      <c r="A2412" s="21">
        <f>IF(Rechner!$E$4&lt;&gt;"ok","",IF(Rechner!$E$5+2410&lt;=Rechner!$B$6,Rechner!$E$5+2410,""))</f>
        <v/>
      </c>
      <c r="B2412">
        <f>IF(A2412="","",LOOKUP(A2412,Basiszins!$A$5:$A$18,Basiszins!$B$5:$B$18))</f>
        <v/>
      </c>
      <c r="C2412">
        <f>IF(A2412="","",B2412+Rechner!$E$7)</f>
        <v/>
      </c>
      <c r="D2412">
        <f>J2411</f>
        <v/>
      </c>
      <c r="E2412">
        <f>IF(A2412="",0,D2412*C2412/100/(DATE(YEAR(A2412)+1,1,1)-DATE(YEAR(A2412),1,1)))</f>
        <v/>
      </c>
      <c r="F2412">
        <f>IF(A2412="",0,SUMIF(Rechner!$A$12:$A$21,A2412,Rechner!$B$12:$B$21))</f>
        <v/>
      </c>
      <c r="G2412">
        <f>H2411+E2412</f>
        <v/>
      </c>
      <c r="H2412">
        <f>G2412-MIN(F2412,G2412)</f>
        <v/>
      </c>
      <c r="I2412">
        <f>MIN(F2412-MIN(F2412,G2412),D2412)</f>
        <v/>
      </c>
      <c r="J2412">
        <f>D2412-I2412</f>
        <v/>
      </c>
      <c r="K2412">
        <f>F2412-MIN(F2412,G2412)-I2412</f>
        <v/>
      </c>
    </row>
    <row r="2413">
      <c r="A2413" s="21">
        <f>IF(Rechner!$E$4&lt;&gt;"ok","",IF(Rechner!$E$5+2411&lt;=Rechner!$B$6,Rechner!$E$5+2411,""))</f>
        <v/>
      </c>
      <c r="B2413">
        <f>IF(A2413="","",LOOKUP(A2413,Basiszins!$A$5:$A$18,Basiszins!$B$5:$B$18))</f>
        <v/>
      </c>
      <c r="C2413">
        <f>IF(A2413="","",B2413+Rechner!$E$7)</f>
        <v/>
      </c>
      <c r="D2413">
        <f>J2412</f>
        <v/>
      </c>
      <c r="E2413">
        <f>IF(A2413="",0,D2413*C2413/100/(DATE(YEAR(A2413)+1,1,1)-DATE(YEAR(A2413),1,1)))</f>
        <v/>
      </c>
      <c r="F2413">
        <f>IF(A2413="",0,SUMIF(Rechner!$A$12:$A$21,A2413,Rechner!$B$12:$B$21))</f>
        <v/>
      </c>
      <c r="G2413">
        <f>H2412+E2413</f>
        <v/>
      </c>
      <c r="H2413">
        <f>G2413-MIN(F2413,G2413)</f>
        <v/>
      </c>
      <c r="I2413">
        <f>MIN(F2413-MIN(F2413,G2413),D2413)</f>
        <v/>
      </c>
      <c r="J2413">
        <f>D2413-I2413</f>
        <v/>
      </c>
      <c r="K2413">
        <f>F2413-MIN(F2413,G2413)-I2413</f>
        <v/>
      </c>
    </row>
    <row r="2414">
      <c r="A2414" s="21">
        <f>IF(Rechner!$E$4&lt;&gt;"ok","",IF(Rechner!$E$5+2412&lt;=Rechner!$B$6,Rechner!$E$5+2412,""))</f>
        <v/>
      </c>
      <c r="B2414">
        <f>IF(A2414="","",LOOKUP(A2414,Basiszins!$A$5:$A$18,Basiszins!$B$5:$B$18))</f>
        <v/>
      </c>
      <c r="C2414">
        <f>IF(A2414="","",B2414+Rechner!$E$7)</f>
        <v/>
      </c>
      <c r="D2414">
        <f>J2413</f>
        <v/>
      </c>
      <c r="E2414">
        <f>IF(A2414="",0,D2414*C2414/100/(DATE(YEAR(A2414)+1,1,1)-DATE(YEAR(A2414),1,1)))</f>
        <v/>
      </c>
      <c r="F2414">
        <f>IF(A2414="",0,SUMIF(Rechner!$A$12:$A$21,A2414,Rechner!$B$12:$B$21))</f>
        <v/>
      </c>
      <c r="G2414">
        <f>H2413+E2414</f>
        <v/>
      </c>
      <c r="H2414">
        <f>G2414-MIN(F2414,G2414)</f>
        <v/>
      </c>
      <c r="I2414">
        <f>MIN(F2414-MIN(F2414,G2414),D2414)</f>
        <v/>
      </c>
      <c r="J2414">
        <f>D2414-I2414</f>
        <v/>
      </c>
      <c r="K2414">
        <f>F2414-MIN(F2414,G2414)-I2414</f>
        <v/>
      </c>
    </row>
    <row r="2415">
      <c r="A2415" s="21">
        <f>IF(Rechner!$E$4&lt;&gt;"ok","",IF(Rechner!$E$5+2413&lt;=Rechner!$B$6,Rechner!$E$5+2413,""))</f>
        <v/>
      </c>
      <c r="B2415">
        <f>IF(A2415="","",LOOKUP(A2415,Basiszins!$A$5:$A$18,Basiszins!$B$5:$B$18))</f>
        <v/>
      </c>
      <c r="C2415">
        <f>IF(A2415="","",B2415+Rechner!$E$7)</f>
        <v/>
      </c>
      <c r="D2415">
        <f>J2414</f>
        <v/>
      </c>
      <c r="E2415">
        <f>IF(A2415="",0,D2415*C2415/100/(DATE(YEAR(A2415)+1,1,1)-DATE(YEAR(A2415),1,1)))</f>
        <v/>
      </c>
      <c r="F2415">
        <f>IF(A2415="",0,SUMIF(Rechner!$A$12:$A$21,A2415,Rechner!$B$12:$B$21))</f>
        <v/>
      </c>
      <c r="G2415">
        <f>H2414+E2415</f>
        <v/>
      </c>
      <c r="H2415">
        <f>G2415-MIN(F2415,G2415)</f>
        <v/>
      </c>
      <c r="I2415">
        <f>MIN(F2415-MIN(F2415,G2415),D2415)</f>
        <v/>
      </c>
      <c r="J2415">
        <f>D2415-I2415</f>
        <v/>
      </c>
      <c r="K2415">
        <f>F2415-MIN(F2415,G2415)-I2415</f>
        <v/>
      </c>
    </row>
    <row r="2416">
      <c r="A2416" s="21">
        <f>IF(Rechner!$E$4&lt;&gt;"ok","",IF(Rechner!$E$5+2414&lt;=Rechner!$B$6,Rechner!$E$5+2414,""))</f>
        <v/>
      </c>
      <c r="B2416">
        <f>IF(A2416="","",LOOKUP(A2416,Basiszins!$A$5:$A$18,Basiszins!$B$5:$B$18))</f>
        <v/>
      </c>
      <c r="C2416">
        <f>IF(A2416="","",B2416+Rechner!$E$7)</f>
        <v/>
      </c>
      <c r="D2416">
        <f>J2415</f>
        <v/>
      </c>
      <c r="E2416">
        <f>IF(A2416="",0,D2416*C2416/100/(DATE(YEAR(A2416)+1,1,1)-DATE(YEAR(A2416),1,1)))</f>
        <v/>
      </c>
      <c r="F2416">
        <f>IF(A2416="",0,SUMIF(Rechner!$A$12:$A$21,A2416,Rechner!$B$12:$B$21))</f>
        <v/>
      </c>
      <c r="G2416">
        <f>H2415+E2416</f>
        <v/>
      </c>
      <c r="H2416">
        <f>G2416-MIN(F2416,G2416)</f>
        <v/>
      </c>
      <c r="I2416">
        <f>MIN(F2416-MIN(F2416,G2416),D2416)</f>
        <v/>
      </c>
      <c r="J2416">
        <f>D2416-I2416</f>
        <v/>
      </c>
      <c r="K2416">
        <f>F2416-MIN(F2416,G2416)-I2416</f>
        <v/>
      </c>
    </row>
    <row r="2417">
      <c r="A2417" s="21">
        <f>IF(Rechner!$E$4&lt;&gt;"ok","",IF(Rechner!$E$5+2415&lt;=Rechner!$B$6,Rechner!$E$5+2415,""))</f>
        <v/>
      </c>
      <c r="B2417">
        <f>IF(A2417="","",LOOKUP(A2417,Basiszins!$A$5:$A$18,Basiszins!$B$5:$B$18))</f>
        <v/>
      </c>
      <c r="C2417">
        <f>IF(A2417="","",B2417+Rechner!$E$7)</f>
        <v/>
      </c>
      <c r="D2417">
        <f>J2416</f>
        <v/>
      </c>
      <c r="E2417">
        <f>IF(A2417="",0,D2417*C2417/100/(DATE(YEAR(A2417)+1,1,1)-DATE(YEAR(A2417),1,1)))</f>
        <v/>
      </c>
      <c r="F2417">
        <f>IF(A2417="",0,SUMIF(Rechner!$A$12:$A$21,A2417,Rechner!$B$12:$B$21))</f>
        <v/>
      </c>
      <c r="G2417">
        <f>H2416+E2417</f>
        <v/>
      </c>
      <c r="H2417">
        <f>G2417-MIN(F2417,G2417)</f>
        <v/>
      </c>
      <c r="I2417">
        <f>MIN(F2417-MIN(F2417,G2417),D2417)</f>
        <v/>
      </c>
      <c r="J2417">
        <f>D2417-I2417</f>
        <v/>
      </c>
      <c r="K2417">
        <f>F2417-MIN(F2417,G2417)-I2417</f>
        <v/>
      </c>
    </row>
    <row r="2418">
      <c r="A2418" s="21">
        <f>IF(Rechner!$E$4&lt;&gt;"ok","",IF(Rechner!$E$5+2416&lt;=Rechner!$B$6,Rechner!$E$5+2416,""))</f>
        <v/>
      </c>
      <c r="B2418">
        <f>IF(A2418="","",LOOKUP(A2418,Basiszins!$A$5:$A$18,Basiszins!$B$5:$B$18))</f>
        <v/>
      </c>
      <c r="C2418">
        <f>IF(A2418="","",B2418+Rechner!$E$7)</f>
        <v/>
      </c>
      <c r="D2418">
        <f>J2417</f>
        <v/>
      </c>
      <c r="E2418">
        <f>IF(A2418="",0,D2418*C2418/100/(DATE(YEAR(A2418)+1,1,1)-DATE(YEAR(A2418),1,1)))</f>
        <v/>
      </c>
      <c r="F2418">
        <f>IF(A2418="",0,SUMIF(Rechner!$A$12:$A$21,A2418,Rechner!$B$12:$B$21))</f>
        <v/>
      </c>
      <c r="G2418">
        <f>H2417+E2418</f>
        <v/>
      </c>
      <c r="H2418">
        <f>G2418-MIN(F2418,G2418)</f>
        <v/>
      </c>
      <c r="I2418">
        <f>MIN(F2418-MIN(F2418,G2418),D2418)</f>
        <v/>
      </c>
      <c r="J2418">
        <f>D2418-I2418</f>
        <v/>
      </c>
      <c r="K2418">
        <f>F2418-MIN(F2418,G2418)-I2418</f>
        <v/>
      </c>
    </row>
    <row r="2419">
      <c r="A2419" s="21">
        <f>IF(Rechner!$E$4&lt;&gt;"ok","",IF(Rechner!$E$5+2417&lt;=Rechner!$B$6,Rechner!$E$5+2417,""))</f>
        <v/>
      </c>
      <c r="B2419">
        <f>IF(A2419="","",LOOKUP(A2419,Basiszins!$A$5:$A$18,Basiszins!$B$5:$B$18))</f>
        <v/>
      </c>
      <c r="C2419">
        <f>IF(A2419="","",B2419+Rechner!$E$7)</f>
        <v/>
      </c>
      <c r="D2419">
        <f>J2418</f>
        <v/>
      </c>
      <c r="E2419">
        <f>IF(A2419="",0,D2419*C2419/100/(DATE(YEAR(A2419)+1,1,1)-DATE(YEAR(A2419),1,1)))</f>
        <v/>
      </c>
      <c r="F2419">
        <f>IF(A2419="",0,SUMIF(Rechner!$A$12:$A$21,A2419,Rechner!$B$12:$B$21))</f>
        <v/>
      </c>
      <c r="G2419">
        <f>H2418+E2419</f>
        <v/>
      </c>
      <c r="H2419">
        <f>G2419-MIN(F2419,G2419)</f>
        <v/>
      </c>
      <c r="I2419">
        <f>MIN(F2419-MIN(F2419,G2419),D2419)</f>
        <v/>
      </c>
      <c r="J2419">
        <f>D2419-I2419</f>
        <v/>
      </c>
      <c r="K2419">
        <f>F2419-MIN(F2419,G2419)-I2419</f>
        <v/>
      </c>
    </row>
    <row r="2420">
      <c r="A2420" s="21">
        <f>IF(Rechner!$E$4&lt;&gt;"ok","",IF(Rechner!$E$5+2418&lt;=Rechner!$B$6,Rechner!$E$5+2418,""))</f>
        <v/>
      </c>
      <c r="B2420">
        <f>IF(A2420="","",LOOKUP(A2420,Basiszins!$A$5:$A$18,Basiszins!$B$5:$B$18))</f>
        <v/>
      </c>
      <c r="C2420">
        <f>IF(A2420="","",B2420+Rechner!$E$7)</f>
        <v/>
      </c>
      <c r="D2420">
        <f>J2419</f>
        <v/>
      </c>
      <c r="E2420">
        <f>IF(A2420="",0,D2420*C2420/100/(DATE(YEAR(A2420)+1,1,1)-DATE(YEAR(A2420),1,1)))</f>
        <v/>
      </c>
      <c r="F2420">
        <f>IF(A2420="",0,SUMIF(Rechner!$A$12:$A$21,A2420,Rechner!$B$12:$B$21))</f>
        <v/>
      </c>
      <c r="G2420">
        <f>H2419+E2420</f>
        <v/>
      </c>
      <c r="H2420">
        <f>G2420-MIN(F2420,G2420)</f>
        <v/>
      </c>
      <c r="I2420">
        <f>MIN(F2420-MIN(F2420,G2420),D2420)</f>
        <v/>
      </c>
      <c r="J2420">
        <f>D2420-I2420</f>
        <v/>
      </c>
      <c r="K2420">
        <f>F2420-MIN(F2420,G2420)-I2420</f>
        <v/>
      </c>
    </row>
    <row r="2421">
      <c r="A2421" s="21">
        <f>IF(Rechner!$E$4&lt;&gt;"ok","",IF(Rechner!$E$5+2419&lt;=Rechner!$B$6,Rechner!$E$5+2419,""))</f>
        <v/>
      </c>
      <c r="B2421">
        <f>IF(A2421="","",LOOKUP(A2421,Basiszins!$A$5:$A$18,Basiszins!$B$5:$B$18))</f>
        <v/>
      </c>
      <c r="C2421">
        <f>IF(A2421="","",B2421+Rechner!$E$7)</f>
        <v/>
      </c>
      <c r="D2421">
        <f>J2420</f>
        <v/>
      </c>
      <c r="E2421">
        <f>IF(A2421="",0,D2421*C2421/100/(DATE(YEAR(A2421)+1,1,1)-DATE(YEAR(A2421),1,1)))</f>
        <v/>
      </c>
      <c r="F2421">
        <f>IF(A2421="",0,SUMIF(Rechner!$A$12:$A$21,A2421,Rechner!$B$12:$B$21))</f>
        <v/>
      </c>
      <c r="G2421">
        <f>H2420+E2421</f>
        <v/>
      </c>
      <c r="H2421">
        <f>G2421-MIN(F2421,G2421)</f>
        <v/>
      </c>
      <c r="I2421">
        <f>MIN(F2421-MIN(F2421,G2421),D2421)</f>
        <v/>
      </c>
      <c r="J2421">
        <f>D2421-I2421</f>
        <v/>
      </c>
      <c r="K2421">
        <f>F2421-MIN(F2421,G2421)-I2421</f>
        <v/>
      </c>
    </row>
    <row r="2422">
      <c r="A2422" s="21">
        <f>IF(Rechner!$E$4&lt;&gt;"ok","",IF(Rechner!$E$5+2420&lt;=Rechner!$B$6,Rechner!$E$5+2420,""))</f>
        <v/>
      </c>
      <c r="B2422">
        <f>IF(A2422="","",LOOKUP(A2422,Basiszins!$A$5:$A$18,Basiszins!$B$5:$B$18))</f>
        <v/>
      </c>
      <c r="C2422">
        <f>IF(A2422="","",B2422+Rechner!$E$7)</f>
        <v/>
      </c>
      <c r="D2422">
        <f>J2421</f>
        <v/>
      </c>
      <c r="E2422">
        <f>IF(A2422="",0,D2422*C2422/100/(DATE(YEAR(A2422)+1,1,1)-DATE(YEAR(A2422),1,1)))</f>
        <v/>
      </c>
      <c r="F2422">
        <f>IF(A2422="",0,SUMIF(Rechner!$A$12:$A$21,A2422,Rechner!$B$12:$B$21))</f>
        <v/>
      </c>
      <c r="G2422">
        <f>H2421+E2422</f>
        <v/>
      </c>
      <c r="H2422">
        <f>G2422-MIN(F2422,G2422)</f>
        <v/>
      </c>
      <c r="I2422">
        <f>MIN(F2422-MIN(F2422,G2422),D2422)</f>
        <v/>
      </c>
      <c r="J2422">
        <f>D2422-I2422</f>
        <v/>
      </c>
      <c r="K2422">
        <f>F2422-MIN(F2422,G2422)-I2422</f>
        <v/>
      </c>
    </row>
    <row r="2423">
      <c r="A2423" s="21">
        <f>IF(Rechner!$E$4&lt;&gt;"ok","",IF(Rechner!$E$5+2421&lt;=Rechner!$B$6,Rechner!$E$5+2421,""))</f>
        <v/>
      </c>
      <c r="B2423">
        <f>IF(A2423="","",LOOKUP(A2423,Basiszins!$A$5:$A$18,Basiszins!$B$5:$B$18))</f>
        <v/>
      </c>
      <c r="C2423">
        <f>IF(A2423="","",B2423+Rechner!$E$7)</f>
        <v/>
      </c>
      <c r="D2423">
        <f>J2422</f>
        <v/>
      </c>
      <c r="E2423">
        <f>IF(A2423="",0,D2423*C2423/100/(DATE(YEAR(A2423)+1,1,1)-DATE(YEAR(A2423),1,1)))</f>
        <v/>
      </c>
      <c r="F2423">
        <f>IF(A2423="",0,SUMIF(Rechner!$A$12:$A$21,A2423,Rechner!$B$12:$B$21))</f>
        <v/>
      </c>
      <c r="G2423">
        <f>H2422+E2423</f>
        <v/>
      </c>
      <c r="H2423">
        <f>G2423-MIN(F2423,G2423)</f>
        <v/>
      </c>
      <c r="I2423">
        <f>MIN(F2423-MIN(F2423,G2423),D2423)</f>
        <v/>
      </c>
      <c r="J2423">
        <f>D2423-I2423</f>
        <v/>
      </c>
      <c r="K2423">
        <f>F2423-MIN(F2423,G2423)-I2423</f>
        <v/>
      </c>
    </row>
    <row r="2424">
      <c r="A2424" s="21">
        <f>IF(Rechner!$E$4&lt;&gt;"ok","",IF(Rechner!$E$5+2422&lt;=Rechner!$B$6,Rechner!$E$5+2422,""))</f>
        <v/>
      </c>
      <c r="B2424">
        <f>IF(A2424="","",LOOKUP(A2424,Basiszins!$A$5:$A$18,Basiszins!$B$5:$B$18))</f>
        <v/>
      </c>
      <c r="C2424">
        <f>IF(A2424="","",B2424+Rechner!$E$7)</f>
        <v/>
      </c>
      <c r="D2424">
        <f>J2423</f>
        <v/>
      </c>
      <c r="E2424">
        <f>IF(A2424="",0,D2424*C2424/100/(DATE(YEAR(A2424)+1,1,1)-DATE(YEAR(A2424),1,1)))</f>
        <v/>
      </c>
      <c r="F2424">
        <f>IF(A2424="",0,SUMIF(Rechner!$A$12:$A$21,A2424,Rechner!$B$12:$B$21))</f>
        <v/>
      </c>
      <c r="G2424">
        <f>H2423+E2424</f>
        <v/>
      </c>
      <c r="H2424">
        <f>G2424-MIN(F2424,G2424)</f>
        <v/>
      </c>
      <c r="I2424">
        <f>MIN(F2424-MIN(F2424,G2424),D2424)</f>
        <v/>
      </c>
      <c r="J2424">
        <f>D2424-I2424</f>
        <v/>
      </c>
      <c r="K2424">
        <f>F2424-MIN(F2424,G2424)-I2424</f>
        <v/>
      </c>
    </row>
    <row r="2425">
      <c r="A2425" s="21">
        <f>IF(Rechner!$E$4&lt;&gt;"ok","",IF(Rechner!$E$5+2423&lt;=Rechner!$B$6,Rechner!$E$5+2423,""))</f>
        <v/>
      </c>
      <c r="B2425">
        <f>IF(A2425="","",LOOKUP(A2425,Basiszins!$A$5:$A$18,Basiszins!$B$5:$B$18))</f>
        <v/>
      </c>
      <c r="C2425">
        <f>IF(A2425="","",B2425+Rechner!$E$7)</f>
        <v/>
      </c>
      <c r="D2425">
        <f>J2424</f>
        <v/>
      </c>
      <c r="E2425">
        <f>IF(A2425="",0,D2425*C2425/100/(DATE(YEAR(A2425)+1,1,1)-DATE(YEAR(A2425),1,1)))</f>
        <v/>
      </c>
      <c r="F2425">
        <f>IF(A2425="",0,SUMIF(Rechner!$A$12:$A$21,A2425,Rechner!$B$12:$B$21))</f>
        <v/>
      </c>
      <c r="G2425">
        <f>H2424+E2425</f>
        <v/>
      </c>
      <c r="H2425">
        <f>G2425-MIN(F2425,G2425)</f>
        <v/>
      </c>
      <c r="I2425">
        <f>MIN(F2425-MIN(F2425,G2425),D2425)</f>
        <v/>
      </c>
      <c r="J2425">
        <f>D2425-I2425</f>
        <v/>
      </c>
      <c r="K2425">
        <f>F2425-MIN(F2425,G2425)-I2425</f>
        <v/>
      </c>
    </row>
    <row r="2426">
      <c r="A2426" s="21">
        <f>IF(Rechner!$E$4&lt;&gt;"ok","",IF(Rechner!$E$5+2424&lt;=Rechner!$B$6,Rechner!$E$5+2424,""))</f>
        <v/>
      </c>
      <c r="B2426">
        <f>IF(A2426="","",LOOKUP(A2426,Basiszins!$A$5:$A$18,Basiszins!$B$5:$B$18))</f>
        <v/>
      </c>
      <c r="C2426">
        <f>IF(A2426="","",B2426+Rechner!$E$7)</f>
        <v/>
      </c>
      <c r="D2426">
        <f>J2425</f>
        <v/>
      </c>
      <c r="E2426">
        <f>IF(A2426="",0,D2426*C2426/100/(DATE(YEAR(A2426)+1,1,1)-DATE(YEAR(A2426),1,1)))</f>
        <v/>
      </c>
      <c r="F2426">
        <f>IF(A2426="",0,SUMIF(Rechner!$A$12:$A$21,A2426,Rechner!$B$12:$B$21))</f>
        <v/>
      </c>
      <c r="G2426">
        <f>H2425+E2426</f>
        <v/>
      </c>
      <c r="H2426">
        <f>G2426-MIN(F2426,G2426)</f>
        <v/>
      </c>
      <c r="I2426">
        <f>MIN(F2426-MIN(F2426,G2426),D2426)</f>
        <v/>
      </c>
      <c r="J2426">
        <f>D2426-I2426</f>
        <v/>
      </c>
      <c r="K2426">
        <f>F2426-MIN(F2426,G2426)-I2426</f>
        <v/>
      </c>
    </row>
    <row r="2427">
      <c r="A2427" s="21">
        <f>IF(Rechner!$E$4&lt;&gt;"ok","",IF(Rechner!$E$5+2425&lt;=Rechner!$B$6,Rechner!$E$5+2425,""))</f>
        <v/>
      </c>
      <c r="B2427">
        <f>IF(A2427="","",LOOKUP(A2427,Basiszins!$A$5:$A$18,Basiszins!$B$5:$B$18))</f>
        <v/>
      </c>
      <c r="C2427">
        <f>IF(A2427="","",B2427+Rechner!$E$7)</f>
        <v/>
      </c>
      <c r="D2427">
        <f>J2426</f>
        <v/>
      </c>
      <c r="E2427">
        <f>IF(A2427="",0,D2427*C2427/100/(DATE(YEAR(A2427)+1,1,1)-DATE(YEAR(A2427),1,1)))</f>
        <v/>
      </c>
      <c r="F2427">
        <f>IF(A2427="",0,SUMIF(Rechner!$A$12:$A$21,A2427,Rechner!$B$12:$B$21))</f>
        <v/>
      </c>
      <c r="G2427">
        <f>H2426+E2427</f>
        <v/>
      </c>
      <c r="H2427">
        <f>G2427-MIN(F2427,G2427)</f>
        <v/>
      </c>
      <c r="I2427">
        <f>MIN(F2427-MIN(F2427,G2427),D2427)</f>
        <v/>
      </c>
      <c r="J2427">
        <f>D2427-I2427</f>
        <v/>
      </c>
      <c r="K2427">
        <f>F2427-MIN(F2427,G2427)-I2427</f>
        <v/>
      </c>
    </row>
    <row r="2428">
      <c r="A2428" s="21">
        <f>IF(Rechner!$E$4&lt;&gt;"ok","",IF(Rechner!$E$5+2426&lt;=Rechner!$B$6,Rechner!$E$5+2426,""))</f>
        <v/>
      </c>
      <c r="B2428">
        <f>IF(A2428="","",LOOKUP(A2428,Basiszins!$A$5:$A$18,Basiszins!$B$5:$B$18))</f>
        <v/>
      </c>
      <c r="C2428">
        <f>IF(A2428="","",B2428+Rechner!$E$7)</f>
        <v/>
      </c>
      <c r="D2428">
        <f>J2427</f>
        <v/>
      </c>
      <c r="E2428">
        <f>IF(A2428="",0,D2428*C2428/100/(DATE(YEAR(A2428)+1,1,1)-DATE(YEAR(A2428),1,1)))</f>
        <v/>
      </c>
      <c r="F2428">
        <f>IF(A2428="",0,SUMIF(Rechner!$A$12:$A$21,A2428,Rechner!$B$12:$B$21))</f>
        <v/>
      </c>
      <c r="G2428">
        <f>H2427+E2428</f>
        <v/>
      </c>
      <c r="H2428">
        <f>G2428-MIN(F2428,G2428)</f>
        <v/>
      </c>
      <c r="I2428">
        <f>MIN(F2428-MIN(F2428,G2428),D2428)</f>
        <v/>
      </c>
      <c r="J2428">
        <f>D2428-I2428</f>
        <v/>
      </c>
      <c r="K2428">
        <f>F2428-MIN(F2428,G2428)-I2428</f>
        <v/>
      </c>
    </row>
    <row r="2429">
      <c r="A2429" s="21">
        <f>IF(Rechner!$E$4&lt;&gt;"ok","",IF(Rechner!$E$5+2427&lt;=Rechner!$B$6,Rechner!$E$5+2427,""))</f>
        <v/>
      </c>
      <c r="B2429">
        <f>IF(A2429="","",LOOKUP(A2429,Basiszins!$A$5:$A$18,Basiszins!$B$5:$B$18))</f>
        <v/>
      </c>
      <c r="C2429">
        <f>IF(A2429="","",B2429+Rechner!$E$7)</f>
        <v/>
      </c>
      <c r="D2429">
        <f>J2428</f>
        <v/>
      </c>
      <c r="E2429">
        <f>IF(A2429="",0,D2429*C2429/100/(DATE(YEAR(A2429)+1,1,1)-DATE(YEAR(A2429),1,1)))</f>
        <v/>
      </c>
      <c r="F2429">
        <f>IF(A2429="",0,SUMIF(Rechner!$A$12:$A$21,A2429,Rechner!$B$12:$B$21))</f>
        <v/>
      </c>
      <c r="G2429">
        <f>H2428+E2429</f>
        <v/>
      </c>
      <c r="H2429">
        <f>G2429-MIN(F2429,G2429)</f>
        <v/>
      </c>
      <c r="I2429">
        <f>MIN(F2429-MIN(F2429,G2429),D2429)</f>
        <v/>
      </c>
      <c r="J2429">
        <f>D2429-I2429</f>
        <v/>
      </c>
      <c r="K2429">
        <f>F2429-MIN(F2429,G2429)-I2429</f>
        <v/>
      </c>
    </row>
    <row r="2430">
      <c r="A2430" s="21">
        <f>IF(Rechner!$E$4&lt;&gt;"ok","",IF(Rechner!$E$5+2428&lt;=Rechner!$B$6,Rechner!$E$5+2428,""))</f>
        <v/>
      </c>
      <c r="B2430">
        <f>IF(A2430="","",LOOKUP(A2430,Basiszins!$A$5:$A$18,Basiszins!$B$5:$B$18))</f>
        <v/>
      </c>
      <c r="C2430">
        <f>IF(A2430="","",B2430+Rechner!$E$7)</f>
        <v/>
      </c>
      <c r="D2430">
        <f>J2429</f>
        <v/>
      </c>
      <c r="E2430">
        <f>IF(A2430="",0,D2430*C2430/100/(DATE(YEAR(A2430)+1,1,1)-DATE(YEAR(A2430),1,1)))</f>
        <v/>
      </c>
      <c r="F2430">
        <f>IF(A2430="",0,SUMIF(Rechner!$A$12:$A$21,A2430,Rechner!$B$12:$B$21))</f>
        <v/>
      </c>
      <c r="G2430">
        <f>H2429+E2430</f>
        <v/>
      </c>
      <c r="H2430">
        <f>G2430-MIN(F2430,G2430)</f>
        <v/>
      </c>
      <c r="I2430">
        <f>MIN(F2430-MIN(F2430,G2430),D2430)</f>
        <v/>
      </c>
      <c r="J2430">
        <f>D2430-I2430</f>
        <v/>
      </c>
      <c r="K2430">
        <f>F2430-MIN(F2430,G2430)-I2430</f>
        <v/>
      </c>
    </row>
    <row r="2431">
      <c r="A2431" s="21">
        <f>IF(Rechner!$E$4&lt;&gt;"ok","",IF(Rechner!$E$5+2429&lt;=Rechner!$B$6,Rechner!$E$5+2429,""))</f>
        <v/>
      </c>
      <c r="B2431">
        <f>IF(A2431="","",LOOKUP(A2431,Basiszins!$A$5:$A$18,Basiszins!$B$5:$B$18))</f>
        <v/>
      </c>
      <c r="C2431">
        <f>IF(A2431="","",B2431+Rechner!$E$7)</f>
        <v/>
      </c>
      <c r="D2431">
        <f>J2430</f>
        <v/>
      </c>
      <c r="E2431">
        <f>IF(A2431="",0,D2431*C2431/100/(DATE(YEAR(A2431)+1,1,1)-DATE(YEAR(A2431),1,1)))</f>
        <v/>
      </c>
      <c r="F2431">
        <f>IF(A2431="",0,SUMIF(Rechner!$A$12:$A$21,A2431,Rechner!$B$12:$B$21))</f>
        <v/>
      </c>
      <c r="G2431">
        <f>H2430+E2431</f>
        <v/>
      </c>
      <c r="H2431">
        <f>G2431-MIN(F2431,G2431)</f>
        <v/>
      </c>
      <c r="I2431">
        <f>MIN(F2431-MIN(F2431,G2431),D2431)</f>
        <v/>
      </c>
      <c r="J2431">
        <f>D2431-I2431</f>
        <v/>
      </c>
      <c r="K2431">
        <f>F2431-MIN(F2431,G2431)-I2431</f>
        <v/>
      </c>
    </row>
    <row r="2432">
      <c r="A2432" s="21">
        <f>IF(Rechner!$E$4&lt;&gt;"ok","",IF(Rechner!$E$5+2430&lt;=Rechner!$B$6,Rechner!$E$5+2430,""))</f>
        <v/>
      </c>
      <c r="B2432">
        <f>IF(A2432="","",LOOKUP(A2432,Basiszins!$A$5:$A$18,Basiszins!$B$5:$B$18))</f>
        <v/>
      </c>
      <c r="C2432">
        <f>IF(A2432="","",B2432+Rechner!$E$7)</f>
        <v/>
      </c>
      <c r="D2432">
        <f>J2431</f>
        <v/>
      </c>
      <c r="E2432">
        <f>IF(A2432="",0,D2432*C2432/100/(DATE(YEAR(A2432)+1,1,1)-DATE(YEAR(A2432),1,1)))</f>
        <v/>
      </c>
      <c r="F2432">
        <f>IF(A2432="",0,SUMIF(Rechner!$A$12:$A$21,A2432,Rechner!$B$12:$B$21))</f>
        <v/>
      </c>
      <c r="G2432">
        <f>H2431+E2432</f>
        <v/>
      </c>
      <c r="H2432">
        <f>G2432-MIN(F2432,G2432)</f>
        <v/>
      </c>
      <c r="I2432">
        <f>MIN(F2432-MIN(F2432,G2432),D2432)</f>
        <v/>
      </c>
      <c r="J2432">
        <f>D2432-I2432</f>
        <v/>
      </c>
      <c r="K2432">
        <f>F2432-MIN(F2432,G2432)-I2432</f>
        <v/>
      </c>
    </row>
    <row r="2433">
      <c r="A2433" s="21">
        <f>IF(Rechner!$E$4&lt;&gt;"ok","",IF(Rechner!$E$5+2431&lt;=Rechner!$B$6,Rechner!$E$5+2431,""))</f>
        <v/>
      </c>
      <c r="B2433">
        <f>IF(A2433="","",LOOKUP(A2433,Basiszins!$A$5:$A$18,Basiszins!$B$5:$B$18))</f>
        <v/>
      </c>
      <c r="C2433">
        <f>IF(A2433="","",B2433+Rechner!$E$7)</f>
        <v/>
      </c>
      <c r="D2433">
        <f>J2432</f>
        <v/>
      </c>
      <c r="E2433">
        <f>IF(A2433="",0,D2433*C2433/100/(DATE(YEAR(A2433)+1,1,1)-DATE(YEAR(A2433),1,1)))</f>
        <v/>
      </c>
      <c r="F2433">
        <f>IF(A2433="",0,SUMIF(Rechner!$A$12:$A$21,A2433,Rechner!$B$12:$B$21))</f>
        <v/>
      </c>
      <c r="G2433">
        <f>H2432+E2433</f>
        <v/>
      </c>
      <c r="H2433">
        <f>G2433-MIN(F2433,G2433)</f>
        <v/>
      </c>
      <c r="I2433">
        <f>MIN(F2433-MIN(F2433,G2433),D2433)</f>
        <v/>
      </c>
      <c r="J2433">
        <f>D2433-I2433</f>
        <v/>
      </c>
      <c r="K2433">
        <f>F2433-MIN(F2433,G2433)-I2433</f>
        <v/>
      </c>
    </row>
    <row r="2434">
      <c r="A2434" s="21">
        <f>IF(Rechner!$E$4&lt;&gt;"ok","",IF(Rechner!$E$5+2432&lt;=Rechner!$B$6,Rechner!$E$5+2432,""))</f>
        <v/>
      </c>
      <c r="B2434">
        <f>IF(A2434="","",LOOKUP(A2434,Basiszins!$A$5:$A$18,Basiszins!$B$5:$B$18))</f>
        <v/>
      </c>
      <c r="C2434">
        <f>IF(A2434="","",B2434+Rechner!$E$7)</f>
        <v/>
      </c>
      <c r="D2434">
        <f>J2433</f>
        <v/>
      </c>
      <c r="E2434">
        <f>IF(A2434="",0,D2434*C2434/100/(DATE(YEAR(A2434)+1,1,1)-DATE(YEAR(A2434),1,1)))</f>
        <v/>
      </c>
      <c r="F2434">
        <f>IF(A2434="",0,SUMIF(Rechner!$A$12:$A$21,A2434,Rechner!$B$12:$B$21))</f>
        <v/>
      </c>
      <c r="G2434">
        <f>H2433+E2434</f>
        <v/>
      </c>
      <c r="H2434">
        <f>G2434-MIN(F2434,G2434)</f>
        <v/>
      </c>
      <c r="I2434">
        <f>MIN(F2434-MIN(F2434,G2434),D2434)</f>
        <v/>
      </c>
      <c r="J2434">
        <f>D2434-I2434</f>
        <v/>
      </c>
      <c r="K2434">
        <f>F2434-MIN(F2434,G2434)-I2434</f>
        <v/>
      </c>
    </row>
    <row r="2435">
      <c r="A2435" s="21">
        <f>IF(Rechner!$E$4&lt;&gt;"ok","",IF(Rechner!$E$5+2433&lt;=Rechner!$B$6,Rechner!$E$5+2433,""))</f>
        <v/>
      </c>
      <c r="B2435">
        <f>IF(A2435="","",LOOKUP(A2435,Basiszins!$A$5:$A$18,Basiszins!$B$5:$B$18))</f>
        <v/>
      </c>
      <c r="C2435">
        <f>IF(A2435="","",B2435+Rechner!$E$7)</f>
        <v/>
      </c>
      <c r="D2435">
        <f>J2434</f>
        <v/>
      </c>
      <c r="E2435">
        <f>IF(A2435="",0,D2435*C2435/100/(DATE(YEAR(A2435)+1,1,1)-DATE(YEAR(A2435),1,1)))</f>
        <v/>
      </c>
      <c r="F2435">
        <f>IF(A2435="",0,SUMIF(Rechner!$A$12:$A$21,A2435,Rechner!$B$12:$B$21))</f>
        <v/>
      </c>
      <c r="G2435">
        <f>H2434+E2435</f>
        <v/>
      </c>
      <c r="H2435">
        <f>G2435-MIN(F2435,G2435)</f>
        <v/>
      </c>
      <c r="I2435">
        <f>MIN(F2435-MIN(F2435,G2435),D2435)</f>
        <v/>
      </c>
      <c r="J2435">
        <f>D2435-I2435</f>
        <v/>
      </c>
      <c r="K2435">
        <f>F2435-MIN(F2435,G2435)-I2435</f>
        <v/>
      </c>
    </row>
    <row r="2436">
      <c r="A2436" s="21">
        <f>IF(Rechner!$E$4&lt;&gt;"ok","",IF(Rechner!$E$5+2434&lt;=Rechner!$B$6,Rechner!$E$5+2434,""))</f>
        <v/>
      </c>
      <c r="B2436">
        <f>IF(A2436="","",LOOKUP(A2436,Basiszins!$A$5:$A$18,Basiszins!$B$5:$B$18))</f>
        <v/>
      </c>
      <c r="C2436">
        <f>IF(A2436="","",B2436+Rechner!$E$7)</f>
        <v/>
      </c>
      <c r="D2436">
        <f>J2435</f>
        <v/>
      </c>
      <c r="E2436">
        <f>IF(A2436="",0,D2436*C2436/100/(DATE(YEAR(A2436)+1,1,1)-DATE(YEAR(A2436),1,1)))</f>
        <v/>
      </c>
      <c r="F2436">
        <f>IF(A2436="",0,SUMIF(Rechner!$A$12:$A$21,A2436,Rechner!$B$12:$B$21))</f>
        <v/>
      </c>
      <c r="G2436">
        <f>H2435+E2436</f>
        <v/>
      </c>
      <c r="H2436">
        <f>G2436-MIN(F2436,G2436)</f>
        <v/>
      </c>
      <c r="I2436">
        <f>MIN(F2436-MIN(F2436,G2436),D2436)</f>
        <v/>
      </c>
      <c r="J2436">
        <f>D2436-I2436</f>
        <v/>
      </c>
      <c r="K2436">
        <f>F2436-MIN(F2436,G2436)-I2436</f>
        <v/>
      </c>
    </row>
    <row r="2437">
      <c r="A2437" s="21">
        <f>IF(Rechner!$E$4&lt;&gt;"ok","",IF(Rechner!$E$5+2435&lt;=Rechner!$B$6,Rechner!$E$5+2435,""))</f>
        <v/>
      </c>
      <c r="B2437">
        <f>IF(A2437="","",LOOKUP(A2437,Basiszins!$A$5:$A$18,Basiszins!$B$5:$B$18))</f>
        <v/>
      </c>
      <c r="C2437">
        <f>IF(A2437="","",B2437+Rechner!$E$7)</f>
        <v/>
      </c>
      <c r="D2437">
        <f>J2436</f>
        <v/>
      </c>
      <c r="E2437">
        <f>IF(A2437="",0,D2437*C2437/100/(DATE(YEAR(A2437)+1,1,1)-DATE(YEAR(A2437),1,1)))</f>
        <v/>
      </c>
      <c r="F2437">
        <f>IF(A2437="",0,SUMIF(Rechner!$A$12:$A$21,A2437,Rechner!$B$12:$B$21))</f>
        <v/>
      </c>
      <c r="G2437">
        <f>H2436+E2437</f>
        <v/>
      </c>
      <c r="H2437">
        <f>G2437-MIN(F2437,G2437)</f>
        <v/>
      </c>
      <c r="I2437">
        <f>MIN(F2437-MIN(F2437,G2437),D2437)</f>
        <v/>
      </c>
      <c r="J2437">
        <f>D2437-I2437</f>
        <v/>
      </c>
      <c r="K2437">
        <f>F2437-MIN(F2437,G2437)-I2437</f>
        <v/>
      </c>
    </row>
    <row r="2438">
      <c r="A2438" s="21">
        <f>IF(Rechner!$E$4&lt;&gt;"ok","",IF(Rechner!$E$5+2436&lt;=Rechner!$B$6,Rechner!$E$5+2436,""))</f>
        <v/>
      </c>
      <c r="B2438">
        <f>IF(A2438="","",LOOKUP(A2438,Basiszins!$A$5:$A$18,Basiszins!$B$5:$B$18))</f>
        <v/>
      </c>
      <c r="C2438">
        <f>IF(A2438="","",B2438+Rechner!$E$7)</f>
        <v/>
      </c>
      <c r="D2438">
        <f>J2437</f>
        <v/>
      </c>
      <c r="E2438">
        <f>IF(A2438="",0,D2438*C2438/100/(DATE(YEAR(A2438)+1,1,1)-DATE(YEAR(A2438),1,1)))</f>
        <v/>
      </c>
      <c r="F2438">
        <f>IF(A2438="",0,SUMIF(Rechner!$A$12:$A$21,A2438,Rechner!$B$12:$B$21))</f>
        <v/>
      </c>
      <c r="G2438">
        <f>H2437+E2438</f>
        <v/>
      </c>
      <c r="H2438">
        <f>G2438-MIN(F2438,G2438)</f>
        <v/>
      </c>
      <c r="I2438">
        <f>MIN(F2438-MIN(F2438,G2438),D2438)</f>
        <v/>
      </c>
      <c r="J2438">
        <f>D2438-I2438</f>
        <v/>
      </c>
      <c r="K2438">
        <f>F2438-MIN(F2438,G2438)-I2438</f>
        <v/>
      </c>
    </row>
    <row r="2439">
      <c r="A2439" s="21">
        <f>IF(Rechner!$E$4&lt;&gt;"ok","",IF(Rechner!$E$5+2437&lt;=Rechner!$B$6,Rechner!$E$5+2437,""))</f>
        <v/>
      </c>
      <c r="B2439">
        <f>IF(A2439="","",LOOKUP(A2439,Basiszins!$A$5:$A$18,Basiszins!$B$5:$B$18))</f>
        <v/>
      </c>
      <c r="C2439">
        <f>IF(A2439="","",B2439+Rechner!$E$7)</f>
        <v/>
      </c>
      <c r="D2439">
        <f>J2438</f>
        <v/>
      </c>
      <c r="E2439">
        <f>IF(A2439="",0,D2439*C2439/100/(DATE(YEAR(A2439)+1,1,1)-DATE(YEAR(A2439),1,1)))</f>
        <v/>
      </c>
      <c r="F2439">
        <f>IF(A2439="",0,SUMIF(Rechner!$A$12:$A$21,A2439,Rechner!$B$12:$B$21))</f>
        <v/>
      </c>
      <c r="G2439">
        <f>H2438+E2439</f>
        <v/>
      </c>
      <c r="H2439">
        <f>G2439-MIN(F2439,G2439)</f>
        <v/>
      </c>
      <c r="I2439">
        <f>MIN(F2439-MIN(F2439,G2439),D2439)</f>
        <v/>
      </c>
      <c r="J2439">
        <f>D2439-I2439</f>
        <v/>
      </c>
      <c r="K2439">
        <f>F2439-MIN(F2439,G2439)-I2439</f>
        <v/>
      </c>
    </row>
    <row r="2440">
      <c r="A2440" s="21">
        <f>IF(Rechner!$E$4&lt;&gt;"ok","",IF(Rechner!$E$5+2438&lt;=Rechner!$B$6,Rechner!$E$5+2438,""))</f>
        <v/>
      </c>
      <c r="B2440">
        <f>IF(A2440="","",LOOKUP(A2440,Basiszins!$A$5:$A$18,Basiszins!$B$5:$B$18))</f>
        <v/>
      </c>
      <c r="C2440">
        <f>IF(A2440="","",B2440+Rechner!$E$7)</f>
        <v/>
      </c>
      <c r="D2440">
        <f>J2439</f>
        <v/>
      </c>
      <c r="E2440">
        <f>IF(A2440="",0,D2440*C2440/100/(DATE(YEAR(A2440)+1,1,1)-DATE(YEAR(A2440),1,1)))</f>
        <v/>
      </c>
      <c r="F2440">
        <f>IF(A2440="",0,SUMIF(Rechner!$A$12:$A$21,A2440,Rechner!$B$12:$B$21))</f>
        <v/>
      </c>
      <c r="G2440">
        <f>H2439+E2440</f>
        <v/>
      </c>
      <c r="H2440">
        <f>G2440-MIN(F2440,G2440)</f>
        <v/>
      </c>
      <c r="I2440">
        <f>MIN(F2440-MIN(F2440,G2440),D2440)</f>
        <v/>
      </c>
      <c r="J2440">
        <f>D2440-I2440</f>
        <v/>
      </c>
      <c r="K2440">
        <f>F2440-MIN(F2440,G2440)-I2440</f>
        <v/>
      </c>
    </row>
    <row r="2441">
      <c r="A2441" s="21">
        <f>IF(Rechner!$E$4&lt;&gt;"ok","",IF(Rechner!$E$5+2439&lt;=Rechner!$B$6,Rechner!$E$5+2439,""))</f>
        <v/>
      </c>
      <c r="B2441">
        <f>IF(A2441="","",LOOKUP(A2441,Basiszins!$A$5:$A$18,Basiszins!$B$5:$B$18))</f>
        <v/>
      </c>
      <c r="C2441">
        <f>IF(A2441="","",B2441+Rechner!$E$7)</f>
        <v/>
      </c>
      <c r="D2441">
        <f>J2440</f>
        <v/>
      </c>
      <c r="E2441">
        <f>IF(A2441="",0,D2441*C2441/100/(DATE(YEAR(A2441)+1,1,1)-DATE(YEAR(A2441),1,1)))</f>
        <v/>
      </c>
      <c r="F2441">
        <f>IF(A2441="",0,SUMIF(Rechner!$A$12:$A$21,A2441,Rechner!$B$12:$B$21))</f>
        <v/>
      </c>
      <c r="G2441">
        <f>H2440+E2441</f>
        <v/>
      </c>
      <c r="H2441">
        <f>G2441-MIN(F2441,G2441)</f>
        <v/>
      </c>
      <c r="I2441">
        <f>MIN(F2441-MIN(F2441,G2441),D2441)</f>
        <v/>
      </c>
      <c r="J2441">
        <f>D2441-I2441</f>
        <v/>
      </c>
      <c r="K2441">
        <f>F2441-MIN(F2441,G2441)-I2441</f>
        <v/>
      </c>
    </row>
    <row r="2442">
      <c r="A2442" s="21">
        <f>IF(Rechner!$E$4&lt;&gt;"ok","",IF(Rechner!$E$5+2440&lt;=Rechner!$B$6,Rechner!$E$5+2440,""))</f>
        <v/>
      </c>
      <c r="B2442">
        <f>IF(A2442="","",LOOKUP(A2442,Basiszins!$A$5:$A$18,Basiszins!$B$5:$B$18))</f>
        <v/>
      </c>
      <c r="C2442">
        <f>IF(A2442="","",B2442+Rechner!$E$7)</f>
        <v/>
      </c>
      <c r="D2442">
        <f>J2441</f>
        <v/>
      </c>
      <c r="E2442">
        <f>IF(A2442="",0,D2442*C2442/100/(DATE(YEAR(A2442)+1,1,1)-DATE(YEAR(A2442),1,1)))</f>
        <v/>
      </c>
      <c r="F2442">
        <f>IF(A2442="",0,SUMIF(Rechner!$A$12:$A$21,A2442,Rechner!$B$12:$B$21))</f>
        <v/>
      </c>
      <c r="G2442">
        <f>H2441+E2442</f>
        <v/>
      </c>
      <c r="H2442">
        <f>G2442-MIN(F2442,G2442)</f>
        <v/>
      </c>
      <c r="I2442">
        <f>MIN(F2442-MIN(F2442,G2442),D2442)</f>
        <v/>
      </c>
      <c r="J2442">
        <f>D2442-I2442</f>
        <v/>
      </c>
      <c r="K2442">
        <f>F2442-MIN(F2442,G2442)-I2442</f>
        <v/>
      </c>
    </row>
    <row r="2443">
      <c r="A2443" s="21">
        <f>IF(Rechner!$E$4&lt;&gt;"ok","",IF(Rechner!$E$5+2441&lt;=Rechner!$B$6,Rechner!$E$5+2441,""))</f>
        <v/>
      </c>
      <c r="B2443">
        <f>IF(A2443="","",LOOKUP(A2443,Basiszins!$A$5:$A$18,Basiszins!$B$5:$B$18))</f>
        <v/>
      </c>
      <c r="C2443">
        <f>IF(A2443="","",B2443+Rechner!$E$7)</f>
        <v/>
      </c>
      <c r="D2443">
        <f>J2442</f>
        <v/>
      </c>
      <c r="E2443">
        <f>IF(A2443="",0,D2443*C2443/100/(DATE(YEAR(A2443)+1,1,1)-DATE(YEAR(A2443),1,1)))</f>
        <v/>
      </c>
      <c r="F2443">
        <f>IF(A2443="",0,SUMIF(Rechner!$A$12:$A$21,A2443,Rechner!$B$12:$B$21))</f>
        <v/>
      </c>
      <c r="G2443">
        <f>H2442+E2443</f>
        <v/>
      </c>
      <c r="H2443">
        <f>G2443-MIN(F2443,G2443)</f>
        <v/>
      </c>
      <c r="I2443">
        <f>MIN(F2443-MIN(F2443,G2443),D2443)</f>
        <v/>
      </c>
      <c r="J2443">
        <f>D2443-I2443</f>
        <v/>
      </c>
      <c r="K2443">
        <f>F2443-MIN(F2443,G2443)-I2443</f>
        <v/>
      </c>
    </row>
    <row r="2444">
      <c r="A2444" s="21">
        <f>IF(Rechner!$E$4&lt;&gt;"ok","",IF(Rechner!$E$5+2442&lt;=Rechner!$B$6,Rechner!$E$5+2442,""))</f>
        <v/>
      </c>
      <c r="B2444">
        <f>IF(A2444="","",LOOKUP(A2444,Basiszins!$A$5:$A$18,Basiszins!$B$5:$B$18))</f>
        <v/>
      </c>
      <c r="C2444">
        <f>IF(A2444="","",B2444+Rechner!$E$7)</f>
        <v/>
      </c>
      <c r="D2444">
        <f>J2443</f>
        <v/>
      </c>
      <c r="E2444">
        <f>IF(A2444="",0,D2444*C2444/100/(DATE(YEAR(A2444)+1,1,1)-DATE(YEAR(A2444),1,1)))</f>
        <v/>
      </c>
      <c r="F2444">
        <f>IF(A2444="",0,SUMIF(Rechner!$A$12:$A$21,A2444,Rechner!$B$12:$B$21))</f>
        <v/>
      </c>
      <c r="G2444">
        <f>H2443+E2444</f>
        <v/>
      </c>
      <c r="H2444">
        <f>G2444-MIN(F2444,G2444)</f>
        <v/>
      </c>
      <c r="I2444">
        <f>MIN(F2444-MIN(F2444,G2444),D2444)</f>
        <v/>
      </c>
      <c r="J2444">
        <f>D2444-I2444</f>
        <v/>
      </c>
      <c r="K2444">
        <f>F2444-MIN(F2444,G2444)-I2444</f>
        <v/>
      </c>
    </row>
    <row r="2445">
      <c r="A2445" s="21">
        <f>IF(Rechner!$E$4&lt;&gt;"ok","",IF(Rechner!$E$5+2443&lt;=Rechner!$B$6,Rechner!$E$5+2443,""))</f>
        <v/>
      </c>
      <c r="B2445">
        <f>IF(A2445="","",LOOKUP(A2445,Basiszins!$A$5:$A$18,Basiszins!$B$5:$B$18))</f>
        <v/>
      </c>
      <c r="C2445">
        <f>IF(A2445="","",B2445+Rechner!$E$7)</f>
        <v/>
      </c>
      <c r="D2445">
        <f>J2444</f>
        <v/>
      </c>
      <c r="E2445">
        <f>IF(A2445="",0,D2445*C2445/100/(DATE(YEAR(A2445)+1,1,1)-DATE(YEAR(A2445),1,1)))</f>
        <v/>
      </c>
      <c r="F2445">
        <f>IF(A2445="",0,SUMIF(Rechner!$A$12:$A$21,A2445,Rechner!$B$12:$B$21))</f>
        <v/>
      </c>
      <c r="G2445">
        <f>H2444+E2445</f>
        <v/>
      </c>
      <c r="H2445">
        <f>G2445-MIN(F2445,G2445)</f>
        <v/>
      </c>
      <c r="I2445">
        <f>MIN(F2445-MIN(F2445,G2445),D2445)</f>
        <v/>
      </c>
      <c r="J2445">
        <f>D2445-I2445</f>
        <v/>
      </c>
      <c r="K2445">
        <f>F2445-MIN(F2445,G2445)-I2445</f>
        <v/>
      </c>
    </row>
    <row r="2446">
      <c r="A2446" s="21">
        <f>IF(Rechner!$E$4&lt;&gt;"ok","",IF(Rechner!$E$5+2444&lt;=Rechner!$B$6,Rechner!$E$5+2444,""))</f>
        <v/>
      </c>
      <c r="B2446">
        <f>IF(A2446="","",LOOKUP(A2446,Basiszins!$A$5:$A$18,Basiszins!$B$5:$B$18))</f>
        <v/>
      </c>
      <c r="C2446">
        <f>IF(A2446="","",B2446+Rechner!$E$7)</f>
        <v/>
      </c>
      <c r="D2446">
        <f>J2445</f>
        <v/>
      </c>
      <c r="E2446">
        <f>IF(A2446="",0,D2446*C2446/100/(DATE(YEAR(A2446)+1,1,1)-DATE(YEAR(A2446),1,1)))</f>
        <v/>
      </c>
      <c r="F2446">
        <f>IF(A2446="",0,SUMIF(Rechner!$A$12:$A$21,A2446,Rechner!$B$12:$B$21))</f>
        <v/>
      </c>
      <c r="G2446">
        <f>H2445+E2446</f>
        <v/>
      </c>
      <c r="H2446">
        <f>G2446-MIN(F2446,G2446)</f>
        <v/>
      </c>
      <c r="I2446">
        <f>MIN(F2446-MIN(F2446,G2446),D2446)</f>
        <v/>
      </c>
      <c r="J2446">
        <f>D2446-I2446</f>
        <v/>
      </c>
      <c r="K2446">
        <f>F2446-MIN(F2446,G2446)-I2446</f>
        <v/>
      </c>
    </row>
    <row r="2447">
      <c r="A2447" s="21">
        <f>IF(Rechner!$E$4&lt;&gt;"ok","",IF(Rechner!$E$5+2445&lt;=Rechner!$B$6,Rechner!$E$5+2445,""))</f>
        <v/>
      </c>
      <c r="B2447">
        <f>IF(A2447="","",LOOKUP(A2447,Basiszins!$A$5:$A$18,Basiszins!$B$5:$B$18))</f>
        <v/>
      </c>
      <c r="C2447">
        <f>IF(A2447="","",B2447+Rechner!$E$7)</f>
        <v/>
      </c>
      <c r="D2447">
        <f>J2446</f>
        <v/>
      </c>
      <c r="E2447">
        <f>IF(A2447="",0,D2447*C2447/100/(DATE(YEAR(A2447)+1,1,1)-DATE(YEAR(A2447),1,1)))</f>
        <v/>
      </c>
      <c r="F2447">
        <f>IF(A2447="",0,SUMIF(Rechner!$A$12:$A$21,A2447,Rechner!$B$12:$B$21))</f>
        <v/>
      </c>
      <c r="G2447">
        <f>H2446+E2447</f>
        <v/>
      </c>
      <c r="H2447">
        <f>G2447-MIN(F2447,G2447)</f>
        <v/>
      </c>
      <c r="I2447">
        <f>MIN(F2447-MIN(F2447,G2447),D2447)</f>
        <v/>
      </c>
      <c r="J2447">
        <f>D2447-I2447</f>
        <v/>
      </c>
      <c r="K2447">
        <f>F2447-MIN(F2447,G2447)-I2447</f>
        <v/>
      </c>
    </row>
    <row r="2448">
      <c r="A2448" s="21">
        <f>IF(Rechner!$E$4&lt;&gt;"ok","",IF(Rechner!$E$5+2446&lt;=Rechner!$B$6,Rechner!$E$5+2446,""))</f>
        <v/>
      </c>
      <c r="B2448">
        <f>IF(A2448="","",LOOKUP(A2448,Basiszins!$A$5:$A$18,Basiszins!$B$5:$B$18))</f>
        <v/>
      </c>
      <c r="C2448">
        <f>IF(A2448="","",B2448+Rechner!$E$7)</f>
        <v/>
      </c>
      <c r="D2448">
        <f>J2447</f>
        <v/>
      </c>
      <c r="E2448">
        <f>IF(A2448="",0,D2448*C2448/100/(DATE(YEAR(A2448)+1,1,1)-DATE(YEAR(A2448),1,1)))</f>
        <v/>
      </c>
      <c r="F2448">
        <f>IF(A2448="",0,SUMIF(Rechner!$A$12:$A$21,A2448,Rechner!$B$12:$B$21))</f>
        <v/>
      </c>
      <c r="G2448">
        <f>H2447+E2448</f>
        <v/>
      </c>
      <c r="H2448">
        <f>G2448-MIN(F2448,G2448)</f>
        <v/>
      </c>
      <c r="I2448">
        <f>MIN(F2448-MIN(F2448,G2448),D2448)</f>
        <v/>
      </c>
      <c r="J2448">
        <f>D2448-I2448</f>
        <v/>
      </c>
      <c r="K2448">
        <f>F2448-MIN(F2448,G2448)-I2448</f>
        <v/>
      </c>
    </row>
    <row r="2449">
      <c r="A2449" s="21">
        <f>IF(Rechner!$E$4&lt;&gt;"ok","",IF(Rechner!$E$5+2447&lt;=Rechner!$B$6,Rechner!$E$5+2447,""))</f>
        <v/>
      </c>
      <c r="B2449">
        <f>IF(A2449="","",LOOKUP(A2449,Basiszins!$A$5:$A$18,Basiszins!$B$5:$B$18))</f>
        <v/>
      </c>
      <c r="C2449">
        <f>IF(A2449="","",B2449+Rechner!$E$7)</f>
        <v/>
      </c>
      <c r="D2449">
        <f>J2448</f>
        <v/>
      </c>
      <c r="E2449">
        <f>IF(A2449="",0,D2449*C2449/100/(DATE(YEAR(A2449)+1,1,1)-DATE(YEAR(A2449),1,1)))</f>
        <v/>
      </c>
      <c r="F2449">
        <f>IF(A2449="",0,SUMIF(Rechner!$A$12:$A$21,A2449,Rechner!$B$12:$B$21))</f>
        <v/>
      </c>
      <c r="G2449">
        <f>H2448+E2449</f>
        <v/>
      </c>
      <c r="H2449">
        <f>G2449-MIN(F2449,G2449)</f>
        <v/>
      </c>
      <c r="I2449">
        <f>MIN(F2449-MIN(F2449,G2449),D2449)</f>
        <v/>
      </c>
      <c r="J2449">
        <f>D2449-I2449</f>
        <v/>
      </c>
      <c r="K2449">
        <f>F2449-MIN(F2449,G2449)-I2449</f>
        <v/>
      </c>
    </row>
    <row r="2450">
      <c r="A2450" s="21">
        <f>IF(Rechner!$E$4&lt;&gt;"ok","",IF(Rechner!$E$5+2448&lt;=Rechner!$B$6,Rechner!$E$5+2448,""))</f>
        <v/>
      </c>
      <c r="B2450">
        <f>IF(A2450="","",LOOKUP(A2450,Basiszins!$A$5:$A$18,Basiszins!$B$5:$B$18))</f>
        <v/>
      </c>
      <c r="C2450">
        <f>IF(A2450="","",B2450+Rechner!$E$7)</f>
        <v/>
      </c>
      <c r="D2450">
        <f>J2449</f>
        <v/>
      </c>
      <c r="E2450">
        <f>IF(A2450="",0,D2450*C2450/100/(DATE(YEAR(A2450)+1,1,1)-DATE(YEAR(A2450),1,1)))</f>
        <v/>
      </c>
      <c r="F2450">
        <f>IF(A2450="",0,SUMIF(Rechner!$A$12:$A$21,A2450,Rechner!$B$12:$B$21))</f>
        <v/>
      </c>
      <c r="G2450">
        <f>H2449+E2450</f>
        <v/>
      </c>
      <c r="H2450">
        <f>G2450-MIN(F2450,G2450)</f>
        <v/>
      </c>
      <c r="I2450">
        <f>MIN(F2450-MIN(F2450,G2450),D2450)</f>
        <v/>
      </c>
      <c r="J2450">
        <f>D2450-I2450</f>
        <v/>
      </c>
      <c r="K2450">
        <f>F2450-MIN(F2450,G2450)-I2450</f>
        <v/>
      </c>
    </row>
    <row r="2451">
      <c r="A2451" s="21">
        <f>IF(Rechner!$E$4&lt;&gt;"ok","",IF(Rechner!$E$5+2449&lt;=Rechner!$B$6,Rechner!$E$5+2449,""))</f>
        <v/>
      </c>
      <c r="B2451">
        <f>IF(A2451="","",LOOKUP(A2451,Basiszins!$A$5:$A$18,Basiszins!$B$5:$B$18))</f>
        <v/>
      </c>
      <c r="C2451">
        <f>IF(A2451="","",B2451+Rechner!$E$7)</f>
        <v/>
      </c>
      <c r="D2451">
        <f>J2450</f>
        <v/>
      </c>
      <c r="E2451">
        <f>IF(A2451="",0,D2451*C2451/100/(DATE(YEAR(A2451)+1,1,1)-DATE(YEAR(A2451),1,1)))</f>
        <v/>
      </c>
      <c r="F2451">
        <f>IF(A2451="",0,SUMIF(Rechner!$A$12:$A$21,A2451,Rechner!$B$12:$B$21))</f>
        <v/>
      </c>
      <c r="G2451">
        <f>H2450+E2451</f>
        <v/>
      </c>
      <c r="H2451">
        <f>G2451-MIN(F2451,G2451)</f>
        <v/>
      </c>
      <c r="I2451">
        <f>MIN(F2451-MIN(F2451,G2451),D2451)</f>
        <v/>
      </c>
      <c r="J2451">
        <f>D2451-I2451</f>
        <v/>
      </c>
      <c r="K2451">
        <f>F2451-MIN(F2451,G2451)-I2451</f>
        <v/>
      </c>
    </row>
    <row r="2452">
      <c r="A2452" s="21">
        <f>IF(Rechner!$E$4&lt;&gt;"ok","",IF(Rechner!$E$5+2450&lt;=Rechner!$B$6,Rechner!$E$5+2450,""))</f>
        <v/>
      </c>
      <c r="B2452">
        <f>IF(A2452="","",LOOKUP(A2452,Basiszins!$A$5:$A$18,Basiszins!$B$5:$B$18))</f>
        <v/>
      </c>
      <c r="C2452">
        <f>IF(A2452="","",B2452+Rechner!$E$7)</f>
        <v/>
      </c>
      <c r="D2452">
        <f>J2451</f>
        <v/>
      </c>
      <c r="E2452">
        <f>IF(A2452="",0,D2452*C2452/100/(DATE(YEAR(A2452)+1,1,1)-DATE(YEAR(A2452),1,1)))</f>
        <v/>
      </c>
      <c r="F2452">
        <f>IF(A2452="",0,SUMIF(Rechner!$A$12:$A$21,A2452,Rechner!$B$12:$B$21))</f>
        <v/>
      </c>
      <c r="G2452">
        <f>H2451+E2452</f>
        <v/>
      </c>
      <c r="H2452">
        <f>G2452-MIN(F2452,G2452)</f>
        <v/>
      </c>
      <c r="I2452">
        <f>MIN(F2452-MIN(F2452,G2452),D2452)</f>
        <v/>
      </c>
      <c r="J2452">
        <f>D2452-I2452</f>
        <v/>
      </c>
      <c r="K2452">
        <f>F2452-MIN(F2452,G2452)-I2452</f>
        <v/>
      </c>
    </row>
    <row r="2453">
      <c r="A2453" s="21">
        <f>IF(Rechner!$E$4&lt;&gt;"ok","",IF(Rechner!$E$5+2451&lt;=Rechner!$B$6,Rechner!$E$5+2451,""))</f>
        <v/>
      </c>
      <c r="B2453">
        <f>IF(A2453="","",LOOKUP(A2453,Basiszins!$A$5:$A$18,Basiszins!$B$5:$B$18))</f>
        <v/>
      </c>
      <c r="C2453">
        <f>IF(A2453="","",B2453+Rechner!$E$7)</f>
        <v/>
      </c>
      <c r="D2453">
        <f>J2452</f>
        <v/>
      </c>
      <c r="E2453">
        <f>IF(A2453="",0,D2453*C2453/100/(DATE(YEAR(A2453)+1,1,1)-DATE(YEAR(A2453),1,1)))</f>
        <v/>
      </c>
      <c r="F2453">
        <f>IF(A2453="",0,SUMIF(Rechner!$A$12:$A$21,A2453,Rechner!$B$12:$B$21))</f>
        <v/>
      </c>
      <c r="G2453">
        <f>H2452+E2453</f>
        <v/>
      </c>
      <c r="H2453">
        <f>G2453-MIN(F2453,G2453)</f>
        <v/>
      </c>
      <c r="I2453">
        <f>MIN(F2453-MIN(F2453,G2453),D2453)</f>
        <v/>
      </c>
      <c r="J2453">
        <f>D2453-I2453</f>
        <v/>
      </c>
      <c r="K2453">
        <f>F2453-MIN(F2453,G2453)-I2453</f>
        <v/>
      </c>
    </row>
    <row r="2454">
      <c r="A2454" s="21">
        <f>IF(Rechner!$E$4&lt;&gt;"ok","",IF(Rechner!$E$5+2452&lt;=Rechner!$B$6,Rechner!$E$5+2452,""))</f>
        <v/>
      </c>
      <c r="B2454">
        <f>IF(A2454="","",LOOKUP(A2454,Basiszins!$A$5:$A$18,Basiszins!$B$5:$B$18))</f>
        <v/>
      </c>
      <c r="C2454">
        <f>IF(A2454="","",B2454+Rechner!$E$7)</f>
        <v/>
      </c>
      <c r="D2454">
        <f>J2453</f>
        <v/>
      </c>
      <c r="E2454">
        <f>IF(A2454="",0,D2454*C2454/100/(DATE(YEAR(A2454)+1,1,1)-DATE(YEAR(A2454),1,1)))</f>
        <v/>
      </c>
      <c r="F2454">
        <f>IF(A2454="",0,SUMIF(Rechner!$A$12:$A$21,A2454,Rechner!$B$12:$B$21))</f>
        <v/>
      </c>
      <c r="G2454">
        <f>H2453+E2454</f>
        <v/>
      </c>
      <c r="H2454">
        <f>G2454-MIN(F2454,G2454)</f>
        <v/>
      </c>
      <c r="I2454">
        <f>MIN(F2454-MIN(F2454,G2454),D2454)</f>
        <v/>
      </c>
      <c r="J2454">
        <f>D2454-I2454</f>
        <v/>
      </c>
      <c r="K2454">
        <f>F2454-MIN(F2454,G2454)-I2454</f>
        <v/>
      </c>
    </row>
    <row r="2455">
      <c r="A2455" s="21">
        <f>IF(Rechner!$E$4&lt;&gt;"ok","",IF(Rechner!$E$5+2453&lt;=Rechner!$B$6,Rechner!$E$5+2453,""))</f>
        <v/>
      </c>
      <c r="B2455">
        <f>IF(A2455="","",LOOKUP(A2455,Basiszins!$A$5:$A$18,Basiszins!$B$5:$B$18))</f>
        <v/>
      </c>
      <c r="C2455">
        <f>IF(A2455="","",B2455+Rechner!$E$7)</f>
        <v/>
      </c>
      <c r="D2455">
        <f>J2454</f>
        <v/>
      </c>
      <c r="E2455">
        <f>IF(A2455="",0,D2455*C2455/100/(DATE(YEAR(A2455)+1,1,1)-DATE(YEAR(A2455),1,1)))</f>
        <v/>
      </c>
      <c r="F2455">
        <f>IF(A2455="",0,SUMIF(Rechner!$A$12:$A$21,A2455,Rechner!$B$12:$B$21))</f>
        <v/>
      </c>
      <c r="G2455">
        <f>H2454+E2455</f>
        <v/>
      </c>
      <c r="H2455">
        <f>G2455-MIN(F2455,G2455)</f>
        <v/>
      </c>
      <c r="I2455">
        <f>MIN(F2455-MIN(F2455,G2455),D2455)</f>
        <v/>
      </c>
      <c r="J2455">
        <f>D2455-I2455</f>
        <v/>
      </c>
      <c r="K2455">
        <f>F2455-MIN(F2455,G2455)-I2455</f>
        <v/>
      </c>
    </row>
    <row r="2456">
      <c r="A2456" s="21">
        <f>IF(Rechner!$E$4&lt;&gt;"ok","",IF(Rechner!$E$5+2454&lt;=Rechner!$B$6,Rechner!$E$5+2454,""))</f>
        <v/>
      </c>
      <c r="B2456">
        <f>IF(A2456="","",LOOKUP(A2456,Basiszins!$A$5:$A$18,Basiszins!$B$5:$B$18))</f>
        <v/>
      </c>
      <c r="C2456">
        <f>IF(A2456="","",B2456+Rechner!$E$7)</f>
        <v/>
      </c>
      <c r="D2456">
        <f>J2455</f>
        <v/>
      </c>
      <c r="E2456">
        <f>IF(A2456="",0,D2456*C2456/100/(DATE(YEAR(A2456)+1,1,1)-DATE(YEAR(A2456),1,1)))</f>
        <v/>
      </c>
      <c r="F2456">
        <f>IF(A2456="",0,SUMIF(Rechner!$A$12:$A$21,A2456,Rechner!$B$12:$B$21))</f>
        <v/>
      </c>
      <c r="G2456">
        <f>H2455+E2456</f>
        <v/>
      </c>
      <c r="H2456">
        <f>G2456-MIN(F2456,G2456)</f>
        <v/>
      </c>
      <c r="I2456">
        <f>MIN(F2456-MIN(F2456,G2456),D2456)</f>
        <v/>
      </c>
      <c r="J2456">
        <f>D2456-I2456</f>
        <v/>
      </c>
      <c r="K2456">
        <f>F2456-MIN(F2456,G2456)-I2456</f>
        <v/>
      </c>
    </row>
    <row r="2457">
      <c r="A2457" s="21">
        <f>IF(Rechner!$E$4&lt;&gt;"ok","",IF(Rechner!$E$5+2455&lt;=Rechner!$B$6,Rechner!$E$5+2455,""))</f>
        <v/>
      </c>
      <c r="B2457">
        <f>IF(A2457="","",LOOKUP(A2457,Basiszins!$A$5:$A$18,Basiszins!$B$5:$B$18))</f>
        <v/>
      </c>
      <c r="C2457">
        <f>IF(A2457="","",B2457+Rechner!$E$7)</f>
        <v/>
      </c>
      <c r="D2457">
        <f>J2456</f>
        <v/>
      </c>
      <c r="E2457">
        <f>IF(A2457="",0,D2457*C2457/100/(DATE(YEAR(A2457)+1,1,1)-DATE(YEAR(A2457),1,1)))</f>
        <v/>
      </c>
      <c r="F2457">
        <f>IF(A2457="",0,SUMIF(Rechner!$A$12:$A$21,A2457,Rechner!$B$12:$B$21))</f>
        <v/>
      </c>
      <c r="G2457">
        <f>H2456+E2457</f>
        <v/>
      </c>
      <c r="H2457">
        <f>G2457-MIN(F2457,G2457)</f>
        <v/>
      </c>
      <c r="I2457">
        <f>MIN(F2457-MIN(F2457,G2457),D2457)</f>
        <v/>
      </c>
      <c r="J2457">
        <f>D2457-I2457</f>
        <v/>
      </c>
      <c r="K2457">
        <f>F2457-MIN(F2457,G2457)-I2457</f>
        <v/>
      </c>
    </row>
    <row r="2458">
      <c r="A2458" s="21">
        <f>IF(Rechner!$E$4&lt;&gt;"ok","",IF(Rechner!$E$5+2456&lt;=Rechner!$B$6,Rechner!$E$5+2456,""))</f>
        <v/>
      </c>
      <c r="B2458">
        <f>IF(A2458="","",LOOKUP(A2458,Basiszins!$A$5:$A$18,Basiszins!$B$5:$B$18))</f>
        <v/>
      </c>
      <c r="C2458">
        <f>IF(A2458="","",B2458+Rechner!$E$7)</f>
        <v/>
      </c>
      <c r="D2458">
        <f>J2457</f>
        <v/>
      </c>
      <c r="E2458">
        <f>IF(A2458="",0,D2458*C2458/100/(DATE(YEAR(A2458)+1,1,1)-DATE(YEAR(A2458),1,1)))</f>
        <v/>
      </c>
      <c r="F2458">
        <f>IF(A2458="",0,SUMIF(Rechner!$A$12:$A$21,A2458,Rechner!$B$12:$B$21))</f>
        <v/>
      </c>
      <c r="G2458">
        <f>H2457+E2458</f>
        <v/>
      </c>
      <c r="H2458">
        <f>G2458-MIN(F2458,G2458)</f>
        <v/>
      </c>
      <c r="I2458">
        <f>MIN(F2458-MIN(F2458,G2458),D2458)</f>
        <v/>
      </c>
      <c r="J2458">
        <f>D2458-I2458</f>
        <v/>
      </c>
      <c r="K2458">
        <f>F2458-MIN(F2458,G2458)-I2458</f>
        <v/>
      </c>
    </row>
    <row r="2459">
      <c r="A2459" s="21">
        <f>IF(Rechner!$E$4&lt;&gt;"ok","",IF(Rechner!$E$5+2457&lt;=Rechner!$B$6,Rechner!$E$5+2457,""))</f>
        <v/>
      </c>
      <c r="B2459">
        <f>IF(A2459="","",LOOKUP(A2459,Basiszins!$A$5:$A$18,Basiszins!$B$5:$B$18))</f>
        <v/>
      </c>
      <c r="C2459">
        <f>IF(A2459="","",B2459+Rechner!$E$7)</f>
        <v/>
      </c>
      <c r="D2459">
        <f>J2458</f>
        <v/>
      </c>
      <c r="E2459">
        <f>IF(A2459="",0,D2459*C2459/100/(DATE(YEAR(A2459)+1,1,1)-DATE(YEAR(A2459),1,1)))</f>
        <v/>
      </c>
      <c r="F2459">
        <f>IF(A2459="",0,SUMIF(Rechner!$A$12:$A$21,A2459,Rechner!$B$12:$B$21))</f>
        <v/>
      </c>
      <c r="G2459">
        <f>H2458+E2459</f>
        <v/>
      </c>
      <c r="H2459">
        <f>G2459-MIN(F2459,G2459)</f>
        <v/>
      </c>
      <c r="I2459">
        <f>MIN(F2459-MIN(F2459,G2459),D2459)</f>
        <v/>
      </c>
      <c r="J2459">
        <f>D2459-I2459</f>
        <v/>
      </c>
      <c r="K2459">
        <f>F2459-MIN(F2459,G2459)-I2459</f>
        <v/>
      </c>
    </row>
    <row r="2460">
      <c r="A2460" s="21">
        <f>IF(Rechner!$E$4&lt;&gt;"ok","",IF(Rechner!$E$5+2458&lt;=Rechner!$B$6,Rechner!$E$5+2458,""))</f>
        <v/>
      </c>
      <c r="B2460">
        <f>IF(A2460="","",LOOKUP(A2460,Basiszins!$A$5:$A$18,Basiszins!$B$5:$B$18))</f>
        <v/>
      </c>
      <c r="C2460">
        <f>IF(A2460="","",B2460+Rechner!$E$7)</f>
        <v/>
      </c>
      <c r="D2460">
        <f>J2459</f>
        <v/>
      </c>
      <c r="E2460">
        <f>IF(A2460="",0,D2460*C2460/100/(DATE(YEAR(A2460)+1,1,1)-DATE(YEAR(A2460),1,1)))</f>
        <v/>
      </c>
      <c r="F2460">
        <f>IF(A2460="",0,SUMIF(Rechner!$A$12:$A$21,A2460,Rechner!$B$12:$B$21))</f>
        <v/>
      </c>
      <c r="G2460">
        <f>H2459+E2460</f>
        <v/>
      </c>
      <c r="H2460">
        <f>G2460-MIN(F2460,G2460)</f>
        <v/>
      </c>
      <c r="I2460">
        <f>MIN(F2460-MIN(F2460,G2460),D2460)</f>
        <v/>
      </c>
      <c r="J2460">
        <f>D2460-I2460</f>
        <v/>
      </c>
      <c r="K2460">
        <f>F2460-MIN(F2460,G2460)-I2460</f>
        <v/>
      </c>
    </row>
    <row r="2461">
      <c r="A2461" s="21">
        <f>IF(Rechner!$E$4&lt;&gt;"ok","",IF(Rechner!$E$5+2459&lt;=Rechner!$B$6,Rechner!$E$5+2459,""))</f>
        <v/>
      </c>
      <c r="B2461">
        <f>IF(A2461="","",LOOKUP(A2461,Basiszins!$A$5:$A$18,Basiszins!$B$5:$B$18))</f>
        <v/>
      </c>
      <c r="C2461">
        <f>IF(A2461="","",B2461+Rechner!$E$7)</f>
        <v/>
      </c>
      <c r="D2461">
        <f>J2460</f>
        <v/>
      </c>
      <c r="E2461">
        <f>IF(A2461="",0,D2461*C2461/100/(DATE(YEAR(A2461)+1,1,1)-DATE(YEAR(A2461),1,1)))</f>
        <v/>
      </c>
      <c r="F2461">
        <f>IF(A2461="",0,SUMIF(Rechner!$A$12:$A$21,A2461,Rechner!$B$12:$B$21))</f>
        <v/>
      </c>
      <c r="G2461">
        <f>H2460+E2461</f>
        <v/>
      </c>
      <c r="H2461">
        <f>G2461-MIN(F2461,G2461)</f>
        <v/>
      </c>
      <c r="I2461">
        <f>MIN(F2461-MIN(F2461,G2461),D2461)</f>
        <v/>
      </c>
      <c r="J2461">
        <f>D2461-I2461</f>
        <v/>
      </c>
      <c r="K2461">
        <f>F2461-MIN(F2461,G2461)-I2461</f>
        <v/>
      </c>
    </row>
    <row r="2462">
      <c r="A2462" s="21">
        <f>IF(Rechner!$E$4&lt;&gt;"ok","",IF(Rechner!$E$5+2460&lt;=Rechner!$B$6,Rechner!$E$5+2460,""))</f>
        <v/>
      </c>
      <c r="B2462">
        <f>IF(A2462="","",LOOKUP(A2462,Basiszins!$A$5:$A$18,Basiszins!$B$5:$B$18))</f>
        <v/>
      </c>
      <c r="C2462">
        <f>IF(A2462="","",B2462+Rechner!$E$7)</f>
        <v/>
      </c>
      <c r="D2462">
        <f>J2461</f>
        <v/>
      </c>
      <c r="E2462">
        <f>IF(A2462="",0,D2462*C2462/100/(DATE(YEAR(A2462)+1,1,1)-DATE(YEAR(A2462),1,1)))</f>
        <v/>
      </c>
      <c r="F2462">
        <f>IF(A2462="",0,SUMIF(Rechner!$A$12:$A$21,A2462,Rechner!$B$12:$B$21))</f>
        <v/>
      </c>
      <c r="G2462">
        <f>H2461+E2462</f>
        <v/>
      </c>
      <c r="H2462">
        <f>G2462-MIN(F2462,G2462)</f>
        <v/>
      </c>
      <c r="I2462">
        <f>MIN(F2462-MIN(F2462,G2462),D2462)</f>
        <v/>
      </c>
      <c r="J2462">
        <f>D2462-I2462</f>
        <v/>
      </c>
      <c r="K2462">
        <f>F2462-MIN(F2462,G2462)-I2462</f>
        <v/>
      </c>
    </row>
    <row r="2463">
      <c r="A2463" s="21">
        <f>IF(Rechner!$E$4&lt;&gt;"ok","",IF(Rechner!$E$5+2461&lt;=Rechner!$B$6,Rechner!$E$5+2461,""))</f>
        <v/>
      </c>
      <c r="B2463">
        <f>IF(A2463="","",LOOKUP(A2463,Basiszins!$A$5:$A$18,Basiszins!$B$5:$B$18))</f>
        <v/>
      </c>
      <c r="C2463">
        <f>IF(A2463="","",B2463+Rechner!$E$7)</f>
        <v/>
      </c>
      <c r="D2463">
        <f>J2462</f>
        <v/>
      </c>
      <c r="E2463">
        <f>IF(A2463="",0,D2463*C2463/100/(DATE(YEAR(A2463)+1,1,1)-DATE(YEAR(A2463),1,1)))</f>
        <v/>
      </c>
      <c r="F2463">
        <f>IF(A2463="",0,SUMIF(Rechner!$A$12:$A$21,A2463,Rechner!$B$12:$B$21))</f>
        <v/>
      </c>
      <c r="G2463">
        <f>H2462+E2463</f>
        <v/>
      </c>
      <c r="H2463">
        <f>G2463-MIN(F2463,G2463)</f>
        <v/>
      </c>
      <c r="I2463">
        <f>MIN(F2463-MIN(F2463,G2463),D2463)</f>
        <v/>
      </c>
      <c r="J2463">
        <f>D2463-I2463</f>
        <v/>
      </c>
      <c r="K2463">
        <f>F2463-MIN(F2463,G2463)-I2463</f>
        <v/>
      </c>
    </row>
    <row r="2464">
      <c r="A2464" s="21">
        <f>IF(Rechner!$E$4&lt;&gt;"ok","",IF(Rechner!$E$5+2462&lt;=Rechner!$B$6,Rechner!$E$5+2462,""))</f>
        <v/>
      </c>
      <c r="B2464">
        <f>IF(A2464="","",LOOKUP(A2464,Basiszins!$A$5:$A$18,Basiszins!$B$5:$B$18))</f>
        <v/>
      </c>
      <c r="C2464">
        <f>IF(A2464="","",B2464+Rechner!$E$7)</f>
        <v/>
      </c>
      <c r="D2464">
        <f>J2463</f>
        <v/>
      </c>
      <c r="E2464">
        <f>IF(A2464="",0,D2464*C2464/100/(DATE(YEAR(A2464)+1,1,1)-DATE(YEAR(A2464),1,1)))</f>
        <v/>
      </c>
      <c r="F2464">
        <f>IF(A2464="",0,SUMIF(Rechner!$A$12:$A$21,A2464,Rechner!$B$12:$B$21))</f>
        <v/>
      </c>
      <c r="G2464">
        <f>H2463+E2464</f>
        <v/>
      </c>
      <c r="H2464">
        <f>G2464-MIN(F2464,G2464)</f>
        <v/>
      </c>
      <c r="I2464">
        <f>MIN(F2464-MIN(F2464,G2464),D2464)</f>
        <v/>
      </c>
      <c r="J2464">
        <f>D2464-I2464</f>
        <v/>
      </c>
      <c r="K2464">
        <f>F2464-MIN(F2464,G2464)-I2464</f>
        <v/>
      </c>
    </row>
    <row r="2465">
      <c r="A2465" s="21">
        <f>IF(Rechner!$E$4&lt;&gt;"ok","",IF(Rechner!$E$5+2463&lt;=Rechner!$B$6,Rechner!$E$5+2463,""))</f>
        <v/>
      </c>
      <c r="B2465">
        <f>IF(A2465="","",LOOKUP(A2465,Basiszins!$A$5:$A$18,Basiszins!$B$5:$B$18))</f>
        <v/>
      </c>
      <c r="C2465">
        <f>IF(A2465="","",B2465+Rechner!$E$7)</f>
        <v/>
      </c>
      <c r="D2465">
        <f>J2464</f>
        <v/>
      </c>
      <c r="E2465">
        <f>IF(A2465="",0,D2465*C2465/100/(DATE(YEAR(A2465)+1,1,1)-DATE(YEAR(A2465),1,1)))</f>
        <v/>
      </c>
      <c r="F2465">
        <f>IF(A2465="",0,SUMIF(Rechner!$A$12:$A$21,A2465,Rechner!$B$12:$B$21))</f>
        <v/>
      </c>
      <c r="G2465">
        <f>H2464+E2465</f>
        <v/>
      </c>
      <c r="H2465">
        <f>G2465-MIN(F2465,G2465)</f>
        <v/>
      </c>
      <c r="I2465">
        <f>MIN(F2465-MIN(F2465,G2465),D2465)</f>
        <v/>
      </c>
      <c r="J2465">
        <f>D2465-I2465</f>
        <v/>
      </c>
      <c r="K2465">
        <f>F2465-MIN(F2465,G2465)-I2465</f>
        <v/>
      </c>
    </row>
    <row r="2466">
      <c r="A2466" s="21">
        <f>IF(Rechner!$E$4&lt;&gt;"ok","",IF(Rechner!$E$5+2464&lt;=Rechner!$B$6,Rechner!$E$5+2464,""))</f>
        <v/>
      </c>
      <c r="B2466">
        <f>IF(A2466="","",LOOKUP(A2466,Basiszins!$A$5:$A$18,Basiszins!$B$5:$B$18))</f>
        <v/>
      </c>
      <c r="C2466">
        <f>IF(A2466="","",B2466+Rechner!$E$7)</f>
        <v/>
      </c>
      <c r="D2466">
        <f>J2465</f>
        <v/>
      </c>
      <c r="E2466">
        <f>IF(A2466="",0,D2466*C2466/100/(DATE(YEAR(A2466)+1,1,1)-DATE(YEAR(A2466),1,1)))</f>
        <v/>
      </c>
      <c r="F2466">
        <f>IF(A2466="",0,SUMIF(Rechner!$A$12:$A$21,A2466,Rechner!$B$12:$B$21))</f>
        <v/>
      </c>
      <c r="G2466">
        <f>H2465+E2466</f>
        <v/>
      </c>
      <c r="H2466">
        <f>G2466-MIN(F2466,G2466)</f>
        <v/>
      </c>
      <c r="I2466">
        <f>MIN(F2466-MIN(F2466,G2466),D2466)</f>
        <v/>
      </c>
      <c r="J2466">
        <f>D2466-I2466</f>
        <v/>
      </c>
      <c r="K2466">
        <f>F2466-MIN(F2466,G2466)-I2466</f>
        <v/>
      </c>
    </row>
    <row r="2467">
      <c r="A2467" s="21">
        <f>IF(Rechner!$E$4&lt;&gt;"ok","",IF(Rechner!$E$5+2465&lt;=Rechner!$B$6,Rechner!$E$5+2465,""))</f>
        <v/>
      </c>
      <c r="B2467">
        <f>IF(A2467="","",LOOKUP(A2467,Basiszins!$A$5:$A$18,Basiszins!$B$5:$B$18))</f>
        <v/>
      </c>
      <c r="C2467">
        <f>IF(A2467="","",B2467+Rechner!$E$7)</f>
        <v/>
      </c>
      <c r="D2467">
        <f>J2466</f>
        <v/>
      </c>
      <c r="E2467">
        <f>IF(A2467="",0,D2467*C2467/100/(DATE(YEAR(A2467)+1,1,1)-DATE(YEAR(A2467),1,1)))</f>
        <v/>
      </c>
      <c r="F2467">
        <f>IF(A2467="",0,SUMIF(Rechner!$A$12:$A$21,A2467,Rechner!$B$12:$B$21))</f>
        <v/>
      </c>
      <c r="G2467">
        <f>H2466+E2467</f>
        <v/>
      </c>
      <c r="H2467">
        <f>G2467-MIN(F2467,G2467)</f>
        <v/>
      </c>
      <c r="I2467">
        <f>MIN(F2467-MIN(F2467,G2467),D2467)</f>
        <v/>
      </c>
      <c r="J2467">
        <f>D2467-I2467</f>
        <v/>
      </c>
      <c r="K2467">
        <f>F2467-MIN(F2467,G2467)-I2467</f>
        <v/>
      </c>
    </row>
    <row r="2468">
      <c r="A2468" s="21">
        <f>IF(Rechner!$E$4&lt;&gt;"ok","",IF(Rechner!$E$5+2466&lt;=Rechner!$B$6,Rechner!$E$5+2466,""))</f>
        <v/>
      </c>
      <c r="B2468">
        <f>IF(A2468="","",LOOKUP(A2468,Basiszins!$A$5:$A$18,Basiszins!$B$5:$B$18))</f>
        <v/>
      </c>
      <c r="C2468">
        <f>IF(A2468="","",B2468+Rechner!$E$7)</f>
        <v/>
      </c>
      <c r="D2468">
        <f>J2467</f>
        <v/>
      </c>
      <c r="E2468">
        <f>IF(A2468="",0,D2468*C2468/100/(DATE(YEAR(A2468)+1,1,1)-DATE(YEAR(A2468),1,1)))</f>
        <v/>
      </c>
      <c r="F2468">
        <f>IF(A2468="",0,SUMIF(Rechner!$A$12:$A$21,A2468,Rechner!$B$12:$B$21))</f>
        <v/>
      </c>
      <c r="G2468">
        <f>H2467+E2468</f>
        <v/>
      </c>
      <c r="H2468">
        <f>G2468-MIN(F2468,G2468)</f>
        <v/>
      </c>
      <c r="I2468">
        <f>MIN(F2468-MIN(F2468,G2468),D2468)</f>
        <v/>
      </c>
      <c r="J2468">
        <f>D2468-I2468</f>
        <v/>
      </c>
      <c r="K2468">
        <f>F2468-MIN(F2468,G2468)-I2468</f>
        <v/>
      </c>
    </row>
    <row r="2469">
      <c r="A2469" s="21">
        <f>IF(Rechner!$E$4&lt;&gt;"ok","",IF(Rechner!$E$5+2467&lt;=Rechner!$B$6,Rechner!$E$5+2467,""))</f>
        <v/>
      </c>
      <c r="B2469">
        <f>IF(A2469="","",LOOKUP(A2469,Basiszins!$A$5:$A$18,Basiszins!$B$5:$B$18))</f>
        <v/>
      </c>
      <c r="C2469">
        <f>IF(A2469="","",B2469+Rechner!$E$7)</f>
        <v/>
      </c>
      <c r="D2469">
        <f>J2468</f>
        <v/>
      </c>
      <c r="E2469">
        <f>IF(A2469="",0,D2469*C2469/100/(DATE(YEAR(A2469)+1,1,1)-DATE(YEAR(A2469),1,1)))</f>
        <v/>
      </c>
      <c r="F2469">
        <f>IF(A2469="",0,SUMIF(Rechner!$A$12:$A$21,A2469,Rechner!$B$12:$B$21))</f>
        <v/>
      </c>
      <c r="G2469">
        <f>H2468+E2469</f>
        <v/>
      </c>
      <c r="H2469">
        <f>G2469-MIN(F2469,G2469)</f>
        <v/>
      </c>
      <c r="I2469">
        <f>MIN(F2469-MIN(F2469,G2469),D2469)</f>
        <v/>
      </c>
      <c r="J2469">
        <f>D2469-I2469</f>
        <v/>
      </c>
      <c r="K2469">
        <f>F2469-MIN(F2469,G2469)-I2469</f>
        <v/>
      </c>
    </row>
    <row r="2470">
      <c r="A2470" s="21">
        <f>IF(Rechner!$E$4&lt;&gt;"ok","",IF(Rechner!$E$5+2468&lt;=Rechner!$B$6,Rechner!$E$5+2468,""))</f>
        <v/>
      </c>
      <c r="B2470">
        <f>IF(A2470="","",LOOKUP(A2470,Basiszins!$A$5:$A$18,Basiszins!$B$5:$B$18))</f>
        <v/>
      </c>
      <c r="C2470">
        <f>IF(A2470="","",B2470+Rechner!$E$7)</f>
        <v/>
      </c>
      <c r="D2470">
        <f>J2469</f>
        <v/>
      </c>
      <c r="E2470">
        <f>IF(A2470="",0,D2470*C2470/100/(DATE(YEAR(A2470)+1,1,1)-DATE(YEAR(A2470),1,1)))</f>
        <v/>
      </c>
      <c r="F2470">
        <f>IF(A2470="",0,SUMIF(Rechner!$A$12:$A$21,A2470,Rechner!$B$12:$B$21))</f>
        <v/>
      </c>
      <c r="G2470">
        <f>H2469+E2470</f>
        <v/>
      </c>
      <c r="H2470">
        <f>G2470-MIN(F2470,G2470)</f>
        <v/>
      </c>
      <c r="I2470">
        <f>MIN(F2470-MIN(F2470,G2470),D2470)</f>
        <v/>
      </c>
      <c r="J2470">
        <f>D2470-I2470</f>
        <v/>
      </c>
      <c r="K2470">
        <f>F2470-MIN(F2470,G2470)-I2470</f>
        <v/>
      </c>
    </row>
    <row r="2471">
      <c r="A2471" s="21">
        <f>IF(Rechner!$E$4&lt;&gt;"ok","",IF(Rechner!$E$5+2469&lt;=Rechner!$B$6,Rechner!$E$5+2469,""))</f>
        <v/>
      </c>
      <c r="B2471">
        <f>IF(A2471="","",LOOKUP(A2471,Basiszins!$A$5:$A$18,Basiszins!$B$5:$B$18))</f>
        <v/>
      </c>
      <c r="C2471">
        <f>IF(A2471="","",B2471+Rechner!$E$7)</f>
        <v/>
      </c>
      <c r="D2471">
        <f>J2470</f>
        <v/>
      </c>
      <c r="E2471">
        <f>IF(A2471="",0,D2471*C2471/100/(DATE(YEAR(A2471)+1,1,1)-DATE(YEAR(A2471),1,1)))</f>
        <v/>
      </c>
      <c r="F2471">
        <f>IF(A2471="",0,SUMIF(Rechner!$A$12:$A$21,A2471,Rechner!$B$12:$B$21))</f>
        <v/>
      </c>
      <c r="G2471">
        <f>H2470+E2471</f>
        <v/>
      </c>
      <c r="H2471">
        <f>G2471-MIN(F2471,G2471)</f>
        <v/>
      </c>
      <c r="I2471">
        <f>MIN(F2471-MIN(F2471,G2471),D2471)</f>
        <v/>
      </c>
      <c r="J2471">
        <f>D2471-I2471</f>
        <v/>
      </c>
      <c r="K2471">
        <f>F2471-MIN(F2471,G2471)-I2471</f>
        <v/>
      </c>
    </row>
    <row r="2472">
      <c r="A2472" s="21">
        <f>IF(Rechner!$E$4&lt;&gt;"ok","",IF(Rechner!$E$5+2470&lt;=Rechner!$B$6,Rechner!$E$5+2470,""))</f>
        <v/>
      </c>
      <c r="B2472">
        <f>IF(A2472="","",LOOKUP(A2472,Basiszins!$A$5:$A$18,Basiszins!$B$5:$B$18))</f>
        <v/>
      </c>
      <c r="C2472">
        <f>IF(A2472="","",B2472+Rechner!$E$7)</f>
        <v/>
      </c>
      <c r="D2472">
        <f>J2471</f>
        <v/>
      </c>
      <c r="E2472">
        <f>IF(A2472="",0,D2472*C2472/100/(DATE(YEAR(A2472)+1,1,1)-DATE(YEAR(A2472),1,1)))</f>
        <v/>
      </c>
      <c r="F2472">
        <f>IF(A2472="",0,SUMIF(Rechner!$A$12:$A$21,A2472,Rechner!$B$12:$B$21))</f>
        <v/>
      </c>
      <c r="G2472">
        <f>H2471+E2472</f>
        <v/>
      </c>
      <c r="H2472">
        <f>G2472-MIN(F2472,G2472)</f>
        <v/>
      </c>
      <c r="I2472">
        <f>MIN(F2472-MIN(F2472,G2472),D2472)</f>
        <v/>
      </c>
      <c r="J2472">
        <f>D2472-I2472</f>
        <v/>
      </c>
      <c r="K2472">
        <f>F2472-MIN(F2472,G2472)-I2472</f>
        <v/>
      </c>
    </row>
    <row r="2473">
      <c r="A2473" s="21">
        <f>IF(Rechner!$E$4&lt;&gt;"ok","",IF(Rechner!$E$5+2471&lt;=Rechner!$B$6,Rechner!$E$5+2471,""))</f>
        <v/>
      </c>
      <c r="B2473">
        <f>IF(A2473="","",LOOKUP(A2473,Basiszins!$A$5:$A$18,Basiszins!$B$5:$B$18))</f>
        <v/>
      </c>
      <c r="C2473">
        <f>IF(A2473="","",B2473+Rechner!$E$7)</f>
        <v/>
      </c>
      <c r="D2473">
        <f>J2472</f>
        <v/>
      </c>
      <c r="E2473">
        <f>IF(A2473="",0,D2473*C2473/100/(DATE(YEAR(A2473)+1,1,1)-DATE(YEAR(A2473),1,1)))</f>
        <v/>
      </c>
      <c r="F2473">
        <f>IF(A2473="",0,SUMIF(Rechner!$A$12:$A$21,A2473,Rechner!$B$12:$B$21))</f>
        <v/>
      </c>
      <c r="G2473">
        <f>H2472+E2473</f>
        <v/>
      </c>
      <c r="H2473">
        <f>G2473-MIN(F2473,G2473)</f>
        <v/>
      </c>
      <c r="I2473">
        <f>MIN(F2473-MIN(F2473,G2473),D2473)</f>
        <v/>
      </c>
      <c r="J2473">
        <f>D2473-I2473</f>
        <v/>
      </c>
      <c r="K2473">
        <f>F2473-MIN(F2473,G2473)-I2473</f>
        <v/>
      </c>
    </row>
    <row r="2474">
      <c r="A2474" s="21">
        <f>IF(Rechner!$E$4&lt;&gt;"ok","",IF(Rechner!$E$5+2472&lt;=Rechner!$B$6,Rechner!$E$5+2472,""))</f>
        <v/>
      </c>
      <c r="B2474">
        <f>IF(A2474="","",LOOKUP(A2474,Basiszins!$A$5:$A$18,Basiszins!$B$5:$B$18))</f>
        <v/>
      </c>
      <c r="C2474">
        <f>IF(A2474="","",B2474+Rechner!$E$7)</f>
        <v/>
      </c>
      <c r="D2474">
        <f>J2473</f>
        <v/>
      </c>
      <c r="E2474">
        <f>IF(A2474="",0,D2474*C2474/100/(DATE(YEAR(A2474)+1,1,1)-DATE(YEAR(A2474),1,1)))</f>
        <v/>
      </c>
      <c r="F2474">
        <f>IF(A2474="",0,SUMIF(Rechner!$A$12:$A$21,A2474,Rechner!$B$12:$B$21))</f>
        <v/>
      </c>
      <c r="G2474">
        <f>H2473+E2474</f>
        <v/>
      </c>
      <c r="H2474">
        <f>G2474-MIN(F2474,G2474)</f>
        <v/>
      </c>
      <c r="I2474">
        <f>MIN(F2474-MIN(F2474,G2474),D2474)</f>
        <v/>
      </c>
      <c r="J2474">
        <f>D2474-I2474</f>
        <v/>
      </c>
      <c r="K2474">
        <f>F2474-MIN(F2474,G2474)-I2474</f>
        <v/>
      </c>
    </row>
    <row r="2475">
      <c r="A2475" s="21">
        <f>IF(Rechner!$E$4&lt;&gt;"ok","",IF(Rechner!$E$5+2473&lt;=Rechner!$B$6,Rechner!$E$5+2473,""))</f>
        <v/>
      </c>
      <c r="B2475">
        <f>IF(A2475="","",LOOKUP(A2475,Basiszins!$A$5:$A$18,Basiszins!$B$5:$B$18))</f>
        <v/>
      </c>
      <c r="C2475">
        <f>IF(A2475="","",B2475+Rechner!$E$7)</f>
        <v/>
      </c>
      <c r="D2475">
        <f>J2474</f>
        <v/>
      </c>
      <c r="E2475">
        <f>IF(A2475="",0,D2475*C2475/100/(DATE(YEAR(A2475)+1,1,1)-DATE(YEAR(A2475),1,1)))</f>
        <v/>
      </c>
      <c r="F2475">
        <f>IF(A2475="",0,SUMIF(Rechner!$A$12:$A$21,A2475,Rechner!$B$12:$B$21))</f>
        <v/>
      </c>
      <c r="G2475">
        <f>H2474+E2475</f>
        <v/>
      </c>
      <c r="H2475">
        <f>G2475-MIN(F2475,G2475)</f>
        <v/>
      </c>
      <c r="I2475">
        <f>MIN(F2475-MIN(F2475,G2475),D2475)</f>
        <v/>
      </c>
      <c r="J2475">
        <f>D2475-I2475</f>
        <v/>
      </c>
      <c r="K2475">
        <f>F2475-MIN(F2475,G2475)-I2475</f>
        <v/>
      </c>
    </row>
    <row r="2476">
      <c r="A2476" s="21">
        <f>IF(Rechner!$E$4&lt;&gt;"ok","",IF(Rechner!$E$5+2474&lt;=Rechner!$B$6,Rechner!$E$5+2474,""))</f>
        <v/>
      </c>
      <c r="B2476">
        <f>IF(A2476="","",LOOKUP(A2476,Basiszins!$A$5:$A$18,Basiszins!$B$5:$B$18))</f>
        <v/>
      </c>
      <c r="C2476">
        <f>IF(A2476="","",B2476+Rechner!$E$7)</f>
        <v/>
      </c>
      <c r="D2476">
        <f>J2475</f>
        <v/>
      </c>
      <c r="E2476">
        <f>IF(A2476="",0,D2476*C2476/100/(DATE(YEAR(A2476)+1,1,1)-DATE(YEAR(A2476),1,1)))</f>
        <v/>
      </c>
      <c r="F2476">
        <f>IF(A2476="",0,SUMIF(Rechner!$A$12:$A$21,A2476,Rechner!$B$12:$B$21))</f>
        <v/>
      </c>
      <c r="G2476">
        <f>H2475+E2476</f>
        <v/>
      </c>
      <c r="H2476">
        <f>G2476-MIN(F2476,G2476)</f>
        <v/>
      </c>
      <c r="I2476">
        <f>MIN(F2476-MIN(F2476,G2476),D2476)</f>
        <v/>
      </c>
      <c r="J2476">
        <f>D2476-I2476</f>
        <v/>
      </c>
      <c r="K2476">
        <f>F2476-MIN(F2476,G2476)-I2476</f>
        <v/>
      </c>
    </row>
    <row r="2477">
      <c r="A2477" s="21">
        <f>IF(Rechner!$E$4&lt;&gt;"ok","",IF(Rechner!$E$5+2475&lt;=Rechner!$B$6,Rechner!$E$5+2475,""))</f>
        <v/>
      </c>
      <c r="B2477">
        <f>IF(A2477="","",LOOKUP(A2477,Basiszins!$A$5:$A$18,Basiszins!$B$5:$B$18))</f>
        <v/>
      </c>
      <c r="C2477">
        <f>IF(A2477="","",B2477+Rechner!$E$7)</f>
        <v/>
      </c>
      <c r="D2477">
        <f>J2476</f>
        <v/>
      </c>
      <c r="E2477">
        <f>IF(A2477="",0,D2477*C2477/100/(DATE(YEAR(A2477)+1,1,1)-DATE(YEAR(A2477),1,1)))</f>
        <v/>
      </c>
      <c r="F2477">
        <f>IF(A2477="",0,SUMIF(Rechner!$A$12:$A$21,A2477,Rechner!$B$12:$B$21))</f>
        <v/>
      </c>
      <c r="G2477">
        <f>H2476+E2477</f>
        <v/>
      </c>
      <c r="H2477">
        <f>G2477-MIN(F2477,G2477)</f>
        <v/>
      </c>
      <c r="I2477">
        <f>MIN(F2477-MIN(F2477,G2477),D2477)</f>
        <v/>
      </c>
      <c r="J2477">
        <f>D2477-I2477</f>
        <v/>
      </c>
      <c r="K2477">
        <f>F2477-MIN(F2477,G2477)-I2477</f>
        <v/>
      </c>
    </row>
    <row r="2478">
      <c r="A2478" s="21">
        <f>IF(Rechner!$E$4&lt;&gt;"ok","",IF(Rechner!$E$5+2476&lt;=Rechner!$B$6,Rechner!$E$5+2476,""))</f>
        <v/>
      </c>
      <c r="B2478">
        <f>IF(A2478="","",LOOKUP(A2478,Basiszins!$A$5:$A$18,Basiszins!$B$5:$B$18))</f>
        <v/>
      </c>
      <c r="C2478">
        <f>IF(A2478="","",B2478+Rechner!$E$7)</f>
        <v/>
      </c>
      <c r="D2478">
        <f>J2477</f>
        <v/>
      </c>
      <c r="E2478">
        <f>IF(A2478="",0,D2478*C2478/100/(DATE(YEAR(A2478)+1,1,1)-DATE(YEAR(A2478),1,1)))</f>
        <v/>
      </c>
      <c r="F2478">
        <f>IF(A2478="",0,SUMIF(Rechner!$A$12:$A$21,A2478,Rechner!$B$12:$B$21))</f>
        <v/>
      </c>
      <c r="G2478">
        <f>H2477+E2478</f>
        <v/>
      </c>
      <c r="H2478">
        <f>G2478-MIN(F2478,G2478)</f>
        <v/>
      </c>
      <c r="I2478">
        <f>MIN(F2478-MIN(F2478,G2478),D2478)</f>
        <v/>
      </c>
      <c r="J2478">
        <f>D2478-I2478</f>
        <v/>
      </c>
      <c r="K2478">
        <f>F2478-MIN(F2478,G2478)-I2478</f>
        <v/>
      </c>
    </row>
    <row r="2479">
      <c r="A2479" s="21">
        <f>IF(Rechner!$E$4&lt;&gt;"ok","",IF(Rechner!$E$5+2477&lt;=Rechner!$B$6,Rechner!$E$5+2477,""))</f>
        <v/>
      </c>
      <c r="B2479">
        <f>IF(A2479="","",LOOKUP(A2479,Basiszins!$A$5:$A$18,Basiszins!$B$5:$B$18))</f>
        <v/>
      </c>
      <c r="C2479">
        <f>IF(A2479="","",B2479+Rechner!$E$7)</f>
        <v/>
      </c>
      <c r="D2479">
        <f>J2478</f>
        <v/>
      </c>
      <c r="E2479">
        <f>IF(A2479="",0,D2479*C2479/100/(DATE(YEAR(A2479)+1,1,1)-DATE(YEAR(A2479),1,1)))</f>
        <v/>
      </c>
      <c r="F2479">
        <f>IF(A2479="",0,SUMIF(Rechner!$A$12:$A$21,A2479,Rechner!$B$12:$B$21))</f>
        <v/>
      </c>
      <c r="G2479">
        <f>H2478+E2479</f>
        <v/>
      </c>
      <c r="H2479">
        <f>G2479-MIN(F2479,G2479)</f>
        <v/>
      </c>
      <c r="I2479">
        <f>MIN(F2479-MIN(F2479,G2479),D2479)</f>
        <v/>
      </c>
      <c r="J2479">
        <f>D2479-I2479</f>
        <v/>
      </c>
      <c r="K2479">
        <f>F2479-MIN(F2479,G2479)-I2479</f>
        <v/>
      </c>
    </row>
    <row r="2480">
      <c r="A2480" s="21">
        <f>IF(Rechner!$E$4&lt;&gt;"ok","",IF(Rechner!$E$5+2478&lt;=Rechner!$B$6,Rechner!$E$5+2478,""))</f>
        <v/>
      </c>
      <c r="B2480">
        <f>IF(A2480="","",LOOKUP(A2480,Basiszins!$A$5:$A$18,Basiszins!$B$5:$B$18))</f>
        <v/>
      </c>
      <c r="C2480">
        <f>IF(A2480="","",B2480+Rechner!$E$7)</f>
        <v/>
      </c>
      <c r="D2480">
        <f>J2479</f>
        <v/>
      </c>
      <c r="E2480">
        <f>IF(A2480="",0,D2480*C2480/100/(DATE(YEAR(A2480)+1,1,1)-DATE(YEAR(A2480),1,1)))</f>
        <v/>
      </c>
      <c r="F2480">
        <f>IF(A2480="",0,SUMIF(Rechner!$A$12:$A$21,A2480,Rechner!$B$12:$B$21))</f>
        <v/>
      </c>
      <c r="G2480">
        <f>H2479+E2480</f>
        <v/>
      </c>
      <c r="H2480">
        <f>G2480-MIN(F2480,G2480)</f>
        <v/>
      </c>
      <c r="I2480">
        <f>MIN(F2480-MIN(F2480,G2480),D2480)</f>
        <v/>
      </c>
      <c r="J2480">
        <f>D2480-I2480</f>
        <v/>
      </c>
      <c r="K2480">
        <f>F2480-MIN(F2480,G2480)-I2480</f>
        <v/>
      </c>
    </row>
    <row r="2481">
      <c r="A2481" s="21">
        <f>IF(Rechner!$E$4&lt;&gt;"ok","",IF(Rechner!$E$5+2479&lt;=Rechner!$B$6,Rechner!$E$5+2479,""))</f>
        <v/>
      </c>
      <c r="B2481">
        <f>IF(A2481="","",LOOKUP(A2481,Basiszins!$A$5:$A$18,Basiszins!$B$5:$B$18))</f>
        <v/>
      </c>
      <c r="C2481">
        <f>IF(A2481="","",B2481+Rechner!$E$7)</f>
        <v/>
      </c>
      <c r="D2481">
        <f>J2480</f>
        <v/>
      </c>
      <c r="E2481">
        <f>IF(A2481="",0,D2481*C2481/100/(DATE(YEAR(A2481)+1,1,1)-DATE(YEAR(A2481),1,1)))</f>
        <v/>
      </c>
      <c r="F2481">
        <f>IF(A2481="",0,SUMIF(Rechner!$A$12:$A$21,A2481,Rechner!$B$12:$B$21))</f>
        <v/>
      </c>
      <c r="G2481">
        <f>H2480+E2481</f>
        <v/>
      </c>
      <c r="H2481">
        <f>G2481-MIN(F2481,G2481)</f>
        <v/>
      </c>
      <c r="I2481">
        <f>MIN(F2481-MIN(F2481,G2481),D2481)</f>
        <v/>
      </c>
      <c r="J2481">
        <f>D2481-I2481</f>
        <v/>
      </c>
      <c r="K2481">
        <f>F2481-MIN(F2481,G2481)-I2481</f>
        <v/>
      </c>
    </row>
    <row r="2482">
      <c r="A2482" s="21">
        <f>IF(Rechner!$E$4&lt;&gt;"ok","",IF(Rechner!$E$5+2480&lt;=Rechner!$B$6,Rechner!$E$5+2480,""))</f>
        <v/>
      </c>
      <c r="B2482">
        <f>IF(A2482="","",LOOKUP(A2482,Basiszins!$A$5:$A$18,Basiszins!$B$5:$B$18))</f>
        <v/>
      </c>
      <c r="C2482">
        <f>IF(A2482="","",B2482+Rechner!$E$7)</f>
        <v/>
      </c>
      <c r="D2482">
        <f>J2481</f>
        <v/>
      </c>
      <c r="E2482">
        <f>IF(A2482="",0,D2482*C2482/100/(DATE(YEAR(A2482)+1,1,1)-DATE(YEAR(A2482),1,1)))</f>
        <v/>
      </c>
      <c r="F2482">
        <f>IF(A2482="",0,SUMIF(Rechner!$A$12:$A$21,A2482,Rechner!$B$12:$B$21))</f>
        <v/>
      </c>
      <c r="G2482">
        <f>H2481+E2482</f>
        <v/>
      </c>
      <c r="H2482">
        <f>G2482-MIN(F2482,G2482)</f>
        <v/>
      </c>
      <c r="I2482">
        <f>MIN(F2482-MIN(F2482,G2482),D2482)</f>
        <v/>
      </c>
      <c r="J2482">
        <f>D2482-I2482</f>
        <v/>
      </c>
      <c r="K2482">
        <f>F2482-MIN(F2482,G2482)-I2482</f>
        <v/>
      </c>
    </row>
    <row r="2483">
      <c r="A2483" s="21">
        <f>IF(Rechner!$E$4&lt;&gt;"ok","",IF(Rechner!$E$5+2481&lt;=Rechner!$B$6,Rechner!$E$5+2481,""))</f>
        <v/>
      </c>
      <c r="B2483">
        <f>IF(A2483="","",LOOKUP(A2483,Basiszins!$A$5:$A$18,Basiszins!$B$5:$B$18))</f>
        <v/>
      </c>
      <c r="C2483">
        <f>IF(A2483="","",B2483+Rechner!$E$7)</f>
        <v/>
      </c>
      <c r="D2483">
        <f>J2482</f>
        <v/>
      </c>
      <c r="E2483">
        <f>IF(A2483="",0,D2483*C2483/100/(DATE(YEAR(A2483)+1,1,1)-DATE(YEAR(A2483),1,1)))</f>
        <v/>
      </c>
      <c r="F2483">
        <f>IF(A2483="",0,SUMIF(Rechner!$A$12:$A$21,A2483,Rechner!$B$12:$B$21))</f>
        <v/>
      </c>
      <c r="G2483">
        <f>H2482+E2483</f>
        <v/>
      </c>
      <c r="H2483">
        <f>G2483-MIN(F2483,G2483)</f>
        <v/>
      </c>
      <c r="I2483">
        <f>MIN(F2483-MIN(F2483,G2483),D2483)</f>
        <v/>
      </c>
      <c r="J2483">
        <f>D2483-I2483</f>
        <v/>
      </c>
      <c r="K2483">
        <f>F2483-MIN(F2483,G2483)-I2483</f>
        <v/>
      </c>
    </row>
    <row r="2484">
      <c r="A2484" s="21">
        <f>IF(Rechner!$E$4&lt;&gt;"ok","",IF(Rechner!$E$5+2482&lt;=Rechner!$B$6,Rechner!$E$5+2482,""))</f>
        <v/>
      </c>
      <c r="B2484">
        <f>IF(A2484="","",LOOKUP(A2484,Basiszins!$A$5:$A$18,Basiszins!$B$5:$B$18))</f>
        <v/>
      </c>
      <c r="C2484">
        <f>IF(A2484="","",B2484+Rechner!$E$7)</f>
        <v/>
      </c>
      <c r="D2484">
        <f>J2483</f>
        <v/>
      </c>
      <c r="E2484">
        <f>IF(A2484="",0,D2484*C2484/100/(DATE(YEAR(A2484)+1,1,1)-DATE(YEAR(A2484),1,1)))</f>
        <v/>
      </c>
      <c r="F2484">
        <f>IF(A2484="",0,SUMIF(Rechner!$A$12:$A$21,A2484,Rechner!$B$12:$B$21))</f>
        <v/>
      </c>
      <c r="G2484">
        <f>H2483+E2484</f>
        <v/>
      </c>
      <c r="H2484">
        <f>G2484-MIN(F2484,G2484)</f>
        <v/>
      </c>
      <c r="I2484">
        <f>MIN(F2484-MIN(F2484,G2484),D2484)</f>
        <v/>
      </c>
      <c r="J2484">
        <f>D2484-I2484</f>
        <v/>
      </c>
      <c r="K2484">
        <f>F2484-MIN(F2484,G2484)-I2484</f>
        <v/>
      </c>
    </row>
    <row r="2485">
      <c r="A2485" s="21">
        <f>IF(Rechner!$E$4&lt;&gt;"ok","",IF(Rechner!$E$5+2483&lt;=Rechner!$B$6,Rechner!$E$5+2483,""))</f>
        <v/>
      </c>
      <c r="B2485">
        <f>IF(A2485="","",LOOKUP(A2485,Basiszins!$A$5:$A$18,Basiszins!$B$5:$B$18))</f>
        <v/>
      </c>
      <c r="C2485">
        <f>IF(A2485="","",B2485+Rechner!$E$7)</f>
        <v/>
      </c>
      <c r="D2485">
        <f>J2484</f>
        <v/>
      </c>
      <c r="E2485">
        <f>IF(A2485="",0,D2485*C2485/100/(DATE(YEAR(A2485)+1,1,1)-DATE(YEAR(A2485),1,1)))</f>
        <v/>
      </c>
      <c r="F2485">
        <f>IF(A2485="",0,SUMIF(Rechner!$A$12:$A$21,A2485,Rechner!$B$12:$B$21))</f>
        <v/>
      </c>
      <c r="G2485">
        <f>H2484+E2485</f>
        <v/>
      </c>
      <c r="H2485">
        <f>G2485-MIN(F2485,G2485)</f>
        <v/>
      </c>
      <c r="I2485">
        <f>MIN(F2485-MIN(F2485,G2485),D2485)</f>
        <v/>
      </c>
      <c r="J2485">
        <f>D2485-I2485</f>
        <v/>
      </c>
      <c r="K2485">
        <f>F2485-MIN(F2485,G2485)-I2485</f>
        <v/>
      </c>
    </row>
    <row r="2486">
      <c r="A2486" s="21">
        <f>IF(Rechner!$E$4&lt;&gt;"ok","",IF(Rechner!$E$5+2484&lt;=Rechner!$B$6,Rechner!$E$5+2484,""))</f>
        <v/>
      </c>
      <c r="B2486">
        <f>IF(A2486="","",LOOKUP(A2486,Basiszins!$A$5:$A$18,Basiszins!$B$5:$B$18))</f>
        <v/>
      </c>
      <c r="C2486">
        <f>IF(A2486="","",B2486+Rechner!$E$7)</f>
        <v/>
      </c>
      <c r="D2486">
        <f>J2485</f>
        <v/>
      </c>
      <c r="E2486">
        <f>IF(A2486="",0,D2486*C2486/100/(DATE(YEAR(A2486)+1,1,1)-DATE(YEAR(A2486),1,1)))</f>
        <v/>
      </c>
      <c r="F2486">
        <f>IF(A2486="",0,SUMIF(Rechner!$A$12:$A$21,A2486,Rechner!$B$12:$B$21))</f>
        <v/>
      </c>
      <c r="G2486">
        <f>H2485+E2486</f>
        <v/>
      </c>
      <c r="H2486">
        <f>G2486-MIN(F2486,G2486)</f>
        <v/>
      </c>
      <c r="I2486">
        <f>MIN(F2486-MIN(F2486,G2486),D2486)</f>
        <v/>
      </c>
      <c r="J2486">
        <f>D2486-I2486</f>
        <v/>
      </c>
      <c r="K2486">
        <f>F2486-MIN(F2486,G2486)-I2486</f>
        <v/>
      </c>
    </row>
    <row r="2487">
      <c r="A2487" s="21">
        <f>IF(Rechner!$E$4&lt;&gt;"ok","",IF(Rechner!$E$5+2485&lt;=Rechner!$B$6,Rechner!$E$5+2485,""))</f>
        <v/>
      </c>
      <c r="B2487">
        <f>IF(A2487="","",LOOKUP(A2487,Basiszins!$A$5:$A$18,Basiszins!$B$5:$B$18))</f>
        <v/>
      </c>
      <c r="C2487">
        <f>IF(A2487="","",B2487+Rechner!$E$7)</f>
        <v/>
      </c>
      <c r="D2487">
        <f>J2486</f>
        <v/>
      </c>
      <c r="E2487">
        <f>IF(A2487="",0,D2487*C2487/100/(DATE(YEAR(A2487)+1,1,1)-DATE(YEAR(A2487),1,1)))</f>
        <v/>
      </c>
      <c r="F2487">
        <f>IF(A2487="",0,SUMIF(Rechner!$A$12:$A$21,A2487,Rechner!$B$12:$B$21))</f>
        <v/>
      </c>
      <c r="G2487">
        <f>H2486+E2487</f>
        <v/>
      </c>
      <c r="H2487">
        <f>G2487-MIN(F2487,G2487)</f>
        <v/>
      </c>
      <c r="I2487">
        <f>MIN(F2487-MIN(F2487,G2487),D2487)</f>
        <v/>
      </c>
      <c r="J2487">
        <f>D2487-I2487</f>
        <v/>
      </c>
      <c r="K2487">
        <f>F2487-MIN(F2487,G2487)-I2487</f>
        <v/>
      </c>
    </row>
    <row r="2488">
      <c r="A2488" s="21">
        <f>IF(Rechner!$E$4&lt;&gt;"ok","",IF(Rechner!$E$5+2486&lt;=Rechner!$B$6,Rechner!$E$5+2486,""))</f>
        <v/>
      </c>
      <c r="B2488">
        <f>IF(A2488="","",LOOKUP(A2488,Basiszins!$A$5:$A$18,Basiszins!$B$5:$B$18))</f>
        <v/>
      </c>
      <c r="C2488">
        <f>IF(A2488="","",B2488+Rechner!$E$7)</f>
        <v/>
      </c>
      <c r="D2488">
        <f>J2487</f>
        <v/>
      </c>
      <c r="E2488">
        <f>IF(A2488="",0,D2488*C2488/100/(DATE(YEAR(A2488)+1,1,1)-DATE(YEAR(A2488),1,1)))</f>
        <v/>
      </c>
      <c r="F2488">
        <f>IF(A2488="",0,SUMIF(Rechner!$A$12:$A$21,A2488,Rechner!$B$12:$B$21))</f>
        <v/>
      </c>
      <c r="G2488">
        <f>H2487+E2488</f>
        <v/>
      </c>
      <c r="H2488">
        <f>G2488-MIN(F2488,G2488)</f>
        <v/>
      </c>
      <c r="I2488">
        <f>MIN(F2488-MIN(F2488,G2488),D2488)</f>
        <v/>
      </c>
      <c r="J2488">
        <f>D2488-I2488</f>
        <v/>
      </c>
      <c r="K2488">
        <f>F2488-MIN(F2488,G2488)-I2488</f>
        <v/>
      </c>
    </row>
    <row r="2489">
      <c r="A2489" s="21">
        <f>IF(Rechner!$E$4&lt;&gt;"ok","",IF(Rechner!$E$5+2487&lt;=Rechner!$B$6,Rechner!$E$5+2487,""))</f>
        <v/>
      </c>
      <c r="B2489">
        <f>IF(A2489="","",LOOKUP(A2489,Basiszins!$A$5:$A$18,Basiszins!$B$5:$B$18))</f>
        <v/>
      </c>
      <c r="C2489">
        <f>IF(A2489="","",B2489+Rechner!$E$7)</f>
        <v/>
      </c>
      <c r="D2489">
        <f>J2488</f>
        <v/>
      </c>
      <c r="E2489">
        <f>IF(A2489="",0,D2489*C2489/100/(DATE(YEAR(A2489)+1,1,1)-DATE(YEAR(A2489),1,1)))</f>
        <v/>
      </c>
      <c r="F2489">
        <f>IF(A2489="",0,SUMIF(Rechner!$A$12:$A$21,A2489,Rechner!$B$12:$B$21))</f>
        <v/>
      </c>
      <c r="G2489">
        <f>H2488+E2489</f>
        <v/>
      </c>
      <c r="H2489">
        <f>G2489-MIN(F2489,G2489)</f>
        <v/>
      </c>
      <c r="I2489">
        <f>MIN(F2489-MIN(F2489,G2489),D2489)</f>
        <v/>
      </c>
      <c r="J2489">
        <f>D2489-I2489</f>
        <v/>
      </c>
      <c r="K2489">
        <f>F2489-MIN(F2489,G2489)-I2489</f>
        <v/>
      </c>
    </row>
    <row r="2490">
      <c r="A2490" s="21">
        <f>IF(Rechner!$E$4&lt;&gt;"ok","",IF(Rechner!$E$5+2488&lt;=Rechner!$B$6,Rechner!$E$5+2488,""))</f>
        <v/>
      </c>
      <c r="B2490">
        <f>IF(A2490="","",LOOKUP(A2490,Basiszins!$A$5:$A$18,Basiszins!$B$5:$B$18))</f>
        <v/>
      </c>
      <c r="C2490">
        <f>IF(A2490="","",B2490+Rechner!$E$7)</f>
        <v/>
      </c>
      <c r="D2490">
        <f>J2489</f>
        <v/>
      </c>
      <c r="E2490">
        <f>IF(A2490="",0,D2490*C2490/100/(DATE(YEAR(A2490)+1,1,1)-DATE(YEAR(A2490),1,1)))</f>
        <v/>
      </c>
      <c r="F2490">
        <f>IF(A2490="",0,SUMIF(Rechner!$A$12:$A$21,A2490,Rechner!$B$12:$B$21))</f>
        <v/>
      </c>
      <c r="G2490">
        <f>H2489+E2490</f>
        <v/>
      </c>
      <c r="H2490">
        <f>G2490-MIN(F2490,G2490)</f>
        <v/>
      </c>
      <c r="I2490">
        <f>MIN(F2490-MIN(F2490,G2490),D2490)</f>
        <v/>
      </c>
      <c r="J2490">
        <f>D2490-I2490</f>
        <v/>
      </c>
      <c r="K2490">
        <f>F2490-MIN(F2490,G2490)-I2490</f>
        <v/>
      </c>
    </row>
    <row r="2491">
      <c r="A2491" s="21">
        <f>IF(Rechner!$E$4&lt;&gt;"ok","",IF(Rechner!$E$5+2489&lt;=Rechner!$B$6,Rechner!$E$5+2489,""))</f>
        <v/>
      </c>
      <c r="B2491">
        <f>IF(A2491="","",LOOKUP(A2491,Basiszins!$A$5:$A$18,Basiszins!$B$5:$B$18))</f>
        <v/>
      </c>
      <c r="C2491">
        <f>IF(A2491="","",B2491+Rechner!$E$7)</f>
        <v/>
      </c>
      <c r="D2491">
        <f>J2490</f>
        <v/>
      </c>
      <c r="E2491">
        <f>IF(A2491="",0,D2491*C2491/100/(DATE(YEAR(A2491)+1,1,1)-DATE(YEAR(A2491),1,1)))</f>
        <v/>
      </c>
      <c r="F2491">
        <f>IF(A2491="",0,SUMIF(Rechner!$A$12:$A$21,A2491,Rechner!$B$12:$B$21))</f>
        <v/>
      </c>
      <c r="G2491">
        <f>H2490+E2491</f>
        <v/>
      </c>
      <c r="H2491">
        <f>G2491-MIN(F2491,G2491)</f>
        <v/>
      </c>
      <c r="I2491">
        <f>MIN(F2491-MIN(F2491,G2491),D2491)</f>
        <v/>
      </c>
      <c r="J2491">
        <f>D2491-I2491</f>
        <v/>
      </c>
      <c r="K2491">
        <f>F2491-MIN(F2491,G2491)-I2491</f>
        <v/>
      </c>
    </row>
    <row r="2492">
      <c r="A2492" s="21">
        <f>IF(Rechner!$E$4&lt;&gt;"ok","",IF(Rechner!$E$5+2490&lt;=Rechner!$B$6,Rechner!$E$5+2490,""))</f>
        <v/>
      </c>
      <c r="B2492">
        <f>IF(A2492="","",LOOKUP(A2492,Basiszins!$A$5:$A$18,Basiszins!$B$5:$B$18))</f>
        <v/>
      </c>
      <c r="C2492">
        <f>IF(A2492="","",B2492+Rechner!$E$7)</f>
        <v/>
      </c>
      <c r="D2492">
        <f>J2491</f>
        <v/>
      </c>
      <c r="E2492">
        <f>IF(A2492="",0,D2492*C2492/100/(DATE(YEAR(A2492)+1,1,1)-DATE(YEAR(A2492),1,1)))</f>
        <v/>
      </c>
      <c r="F2492">
        <f>IF(A2492="",0,SUMIF(Rechner!$A$12:$A$21,A2492,Rechner!$B$12:$B$21))</f>
        <v/>
      </c>
      <c r="G2492">
        <f>H2491+E2492</f>
        <v/>
      </c>
      <c r="H2492">
        <f>G2492-MIN(F2492,G2492)</f>
        <v/>
      </c>
      <c r="I2492">
        <f>MIN(F2492-MIN(F2492,G2492),D2492)</f>
        <v/>
      </c>
      <c r="J2492">
        <f>D2492-I2492</f>
        <v/>
      </c>
      <c r="K2492">
        <f>F2492-MIN(F2492,G2492)-I2492</f>
        <v/>
      </c>
    </row>
    <row r="2493">
      <c r="A2493" s="21">
        <f>IF(Rechner!$E$4&lt;&gt;"ok","",IF(Rechner!$E$5+2491&lt;=Rechner!$B$6,Rechner!$E$5+2491,""))</f>
        <v/>
      </c>
      <c r="B2493">
        <f>IF(A2493="","",LOOKUP(A2493,Basiszins!$A$5:$A$18,Basiszins!$B$5:$B$18))</f>
        <v/>
      </c>
      <c r="C2493">
        <f>IF(A2493="","",B2493+Rechner!$E$7)</f>
        <v/>
      </c>
      <c r="D2493">
        <f>J2492</f>
        <v/>
      </c>
      <c r="E2493">
        <f>IF(A2493="",0,D2493*C2493/100/(DATE(YEAR(A2493)+1,1,1)-DATE(YEAR(A2493),1,1)))</f>
        <v/>
      </c>
      <c r="F2493">
        <f>IF(A2493="",0,SUMIF(Rechner!$A$12:$A$21,A2493,Rechner!$B$12:$B$21))</f>
        <v/>
      </c>
      <c r="G2493">
        <f>H2492+E2493</f>
        <v/>
      </c>
      <c r="H2493">
        <f>G2493-MIN(F2493,G2493)</f>
        <v/>
      </c>
      <c r="I2493">
        <f>MIN(F2493-MIN(F2493,G2493),D2493)</f>
        <v/>
      </c>
      <c r="J2493">
        <f>D2493-I2493</f>
        <v/>
      </c>
      <c r="K2493">
        <f>F2493-MIN(F2493,G2493)-I2493</f>
        <v/>
      </c>
    </row>
    <row r="2494">
      <c r="A2494" s="21">
        <f>IF(Rechner!$E$4&lt;&gt;"ok","",IF(Rechner!$E$5+2492&lt;=Rechner!$B$6,Rechner!$E$5+2492,""))</f>
        <v/>
      </c>
      <c r="B2494">
        <f>IF(A2494="","",LOOKUP(A2494,Basiszins!$A$5:$A$18,Basiszins!$B$5:$B$18))</f>
        <v/>
      </c>
      <c r="C2494">
        <f>IF(A2494="","",B2494+Rechner!$E$7)</f>
        <v/>
      </c>
      <c r="D2494">
        <f>J2493</f>
        <v/>
      </c>
      <c r="E2494">
        <f>IF(A2494="",0,D2494*C2494/100/(DATE(YEAR(A2494)+1,1,1)-DATE(YEAR(A2494),1,1)))</f>
        <v/>
      </c>
      <c r="F2494">
        <f>IF(A2494="",0,SUMIF(Rechner!$A$12:$A$21,A2494,Rechner!$B$12:$B$21))</f>
        <v/>
      </c>
      <c r="G2494">
        <f>H2493+E2494</f>
        <v/>
      </c>
      <c r="H2494">
        <f>G2494-MIN(F2494,G2494)</f>
        <v/>
      </c>
      <c r="I2494">
        <f>MIN(F2494-MIN(F2494,G2494),D2494)</f>
        <v/>
      </c>
      <c r="J2494">
        <f>D2494-I2494</f>
        <v/>
      </c>
      <c r="K2494">
        <f>F2494-MIN(F2494,G2494)-I2494</f>
        <v/>
      </c>
    </row>
    <row r="2495">
      <c r="A2495" s="21">
        <f>IF(Rechner!$E$4&lt;&gt;"ok","",IF(Rechner!$E$5+2493&lt;=Rechner!$B$6,Rechner!$E$5+2493,""))</f>
        <v/>
      </c>
      <c r="B2495">
        <f>IF(A2495="","",LOOKUP(A2495,Basiszins!$A$5:$A$18,Basiszins!$B$5:$B$18))</f>
        <v/>
      </c>
      <c r="C2495">
        <f>IF(A2495="","",B2495+Rechner!$E$7)</f>
        <v/>
      </c>
      <c r="D2495">
        <f>J2494</f>
        <v/>
      </c>
      <c r="E2495">
        <f>IF(A2495="",0,D2495*C2495/100/(DATE(YEAR(A2495)+1,1,1)-DATE(YEAR(A2495),1,1)))</f>
        <v/>
      </c>
      <c r="F2495">
        <f>IF(A2495="",0,SUMIF(Rechner!$A$12:$A$21,A2495,Rechner!$B$12:$B$21))</f>
        <v/>
      </c>
      <c r="G2495">
        <f>H2494+E2495</f>
        <v/>
      </c>
      <c r="H2495">
        <f>G2495-MIN(F2495,G2495)</f>
        <v/>
      </c>
      <c r="I2495">
        <f>MIN(F2495-MIN(F2495,G2495),D2495)</f>
        <v/>
      </c>
      <c r="J2495">
        <f>D2495-I2495</f>
        <v/>
      </c>
      <c r="K2495">
        <f>F2495-MIN(F2495,G2495)-I2495</f>
        <v/>
      </c>
    </row>
    <row r="2496">
      <c r="A2496" s="21">
        <f>IF(Rechner!$E$4&lt;&gt;"ok","",IF(Rechner!$E$5+2494&lt;=Rechner!$B$6,Rechner!$E$5+2494,""))</f>
        <v/>
      </c>
      <c r="B2496">
        <f>IF(A2496="","",LOOKUP(A2496,Basiszins!$A$5:$A$18,Basiszins!$B$5:$B$18))</f>
        <v/>
      </c>
      <c r="C2496">
        <f>IF(A2496="","",B2496+Rechner!$E$7)</f>
        <v/>
      </c>
      <c r="D2496">
        <f>J2495</f>
        <v/>
      </c>
      <c r="E2496">
        <f>IF(A2496="",0,D2496*C2496/100/(DATE(YEAR(A2496)+1,1,1)-DATE(YEAR(A2496),1,1)))</f>
        <v/>
      </c>
      <c r="F2496">
        <f>IF(A2496="",0,SUMIF(Rechner!$A$12:$A$21,A2496,Rechner!$B$12:$B$21))</f>
        <v/>
      </c>
      <c r="G2496">
        <f>H2495+E2496</f>
        <v/>
      </c>
      <c r="H2496">
        <f>G2496-MIN(F2496,G2496)</f>
        <v/>
      </c>
      <c r="I2496">
        <f>MIN(F2496-MIN(F2496,G2496),D2496)</f>
        <v/>
      </c>
      <c r="J2496">
        <f>D2496-I2496</f>
        <v/>
      </c>
      <c r="K2496">
        <f>F2496-MIN(F2496,G2496)-I2496</f>
        <v/>
      </c>
    </row>
    <row r="2497">
      <c r="A2497" s="21">
        <f>IF(Rechner!$E$4&lt;&gt;"ok","",IF(Rechner!$E$5+2495&lt;=Rechner!$B$6,Rechner!$E$5+2495,""))</f>
        <v/>
      </c>
      <c r="B2497">
        <f>IF(A2497="","",LOOKUP(A2497,Basiszins!$A$5:$A$18,Basiszins!$B$5:$B$18))</f>
        <v/>
      </c>
      <c r="C2497">
        <f>IF(A2497="","",B2497+Rechner!$E$7)</f>
        <v/>
      </c>
      <c r="D2497">
        <f>J2496</f>
        <v/>
      </c>
      <c r="E2497">
        <f>IF(A2497="",0,D2497*C2497/100/(DATE(YEAR(A2497)+1,1,1)-DATE(YEAR(A2497),1,1)))</f>
        <v/>
      </c>
      <c r="F2497">
        <f>IF(A2497="",0,SUMIF(Rechner!$A$12:$A$21,A2497,Rechner!$B$12:$B$21))</f>
        <v/>
      </c>
      <c r="G2497">
        <f>H2496+E2497</f>
        <v/>
      </c>
      <c r="H2497">
        <f>G2497-MIN(F2497,G2497)</f>
        <v/>
      </c>
      <c r="I2497">
        <f>MIN(F2497-MIN(F2497,G2497),D2497)</f>
        <v/>
      </c>
      <c r="J2497">
        <f>D2497-I2497</f>
        <v/>
      </c>
      <c r="K2497">
        <f>F2497-MIN(F2497,G2497)-I2497</f>
        <v/>
      </c>
    </row>
    <row r="2498">
      <c r="A2498" s="21">
        <f>IF(Rechner!$E$4&lt;&gt;"ok","",IF(Rechner!$E$5+2496&lt;=Rechner!$B$6,Rechner!$E$5+2496,""))</f>
        <v/>
      </c>
      <c r="B2498">
        <f>IF(A2498="","",LOOKUP(A2498,Basiszins!$A$5:$A$18,Basiszins!$B$5:$B$18))</f>
        <v/>
      </c>
      <c r="C2498">
        <f>IF(A2498="","",B2498+Rechner!$E$7)</f>
        <v/>
      </c>
      <c r="D2498">
        <f>J2497</f>
        <v/>
      </c>
      <c r="E2498">
        <f>IF(A2498="",0,D2498*C2498/100/(DATE(YEAR(A2498)+1,1,1)-DATE(YEAR(A2498),1,1)))</f>
        <v/>
      </c>
      <c r="F2498">
        <f>IF(A2498="",0,SUMIF(Rechner!$A$12:$A$21,A2498,Rechner!$B$12:$B$21))</f>
        <v/>
      </c>
      <c r="G2498">
        <f>H2497+E2498</f>
        <v/>
      </c>
      <c r="H2498">
        <f>G2498-MIN(F2498,G2498)</f>
        <v/>
      </c>
      <c r="I2498">
        <f>MIN(F2498-MIN(F2498,G2498),D2498)</f>
        <v/>
      </c>
      <c r="J2498">
        <f>D2498-I2498</f>
        <v/>
      </c>
      <c r="K2498">
        <f>F2498-MIN(F2498,G2498)-I2498</f>
        <v/>
      </c>
    </row>
    <row r="2499">
      <c r="A2499" s="21">
        <f>IF(Rechner!$E$4&lt;&gt;"ok","",IF(Rechner!$E$5+2497&lt;=Rechner!$B$6,Rechner!$E$5+2497,""))</f>
        <v/>
      </c>
      <c r="B2499">
        <f>IF(A2499="","",LOOKUP(A2499,Basiszins!$A$5:$A$18,Basiszins!$B$5:$B$18))</f>
        <v/>
      </c>
      <c r="C2499">
        <f>IF(A2499="","",B2499+Rechner!$E$7)</f>
        <v/>
      </c>
      <c r="D2499">
        <f>J2498</f>
        <v/>
      </c>
      <c r="E2499">
        <f>IF(A2499="",0,D2499*C2499/100/(DATE(YEAR(A2499)+1,1,1)-DATE(YEAR(A2499),1,1)))</f>
        <v/>
      </c>
      <c r="F2499">
        <f>IF(A2499="",0,SUMIF(Rechner!$A$12:$A$21,A2499,Rechner!$B$12:$B$21))</f>
        <v/>
      </c>
      <c r="G2499">
        <f>H2498+E2499</f>
        <v/>
      </c>
      <c r="H2499">
        <f>G2499-MIN(F2499,G2499)</f>
        <v/>
      </c>
      <c r="I2499">
        <f>MIN(F2499-MIN(F2499,G2499),D2499)</f>
        <v/>
      </c>
      <c r="J2499">
        <f>D2499-I2499</f>
        <v/>
      </c>
      <c r="K2499">
        <f>F2499-MIN(F2499,G2499)-I2499</f>
        <v/>
      </c>
    </row>
    <row r="2500">
      <c r="A2500" s="21">
        <f>IF(Rechner!$E$4&lt;&gt;"ok","",IF(Rechner!$E$5+2498&lt;=Rechner!$B$6,Rechner!$E$5+2498,""))</f>
        <v/>
      </c>
      <c r="B2500">
        <f>IF(A2500="","",LOOKUP(A2500,Basiszins!$A$5:$A$18,Basiszins!$B$5:$B$18))</f>
        <v/>
      </c>
      <c r="C2500">
        <f>IF(A2500="","",B2500+Rechner!$E$7)</f>
        <v/>
      </c>
      <c r="D2500">
        <f>J2499</f>
        <v/>
      </c>
      <c r="E2500">
        <f>IF(A2500="",0,D2500*C2500/100/(DATE(YEAR(A2500)+1,1,1)-DATE(YEAR(A2500),1,1)))</f>
        <v/>
      </c>
      <c r="F2500">
        <f>IF(A2500="",0,SUMIF(Rechner!$A$12:$A$21,A2500,Rechner!$B$12:$B$21))</f>
        <v/>
      </c>
      <c r="G2500">
        <f>H2499+E2500</f>
        <v/>
      </c>
      <c r="H2500">
        <f>G2500-MIN(F2500,G2500)</f>
        <v/>
      </c>
      <c r="I2500">
        <f>MIN(F2500-MIN(F2500,G2500),D2500)</f>
        <v/>
      </c>
      <c r="J2500">
        <f>D2500-I2500</f>
        <v/>
      </c>
      <c r="K2500">
        <f>F2500-MIN(F2500,G2500)-I2500</f>
        <v/>
      </c>
    </row>
    <row r="2501">
      <c r="A2501" s="21">
        <f>IF(Rechner!$E$4&lt;&gt;"ok","",IF(Rechner!$E$5+2499&lt;=Rechner!$B$6,Rechner!$E$5+2499,""))</f>
        <v/>
      </c>
      <c r="B2501">
        <f>IF(A2501="","",LOOKUP(A2501,Basiszins!$A$5:$A$18,Basiszins!$B$5:$B$18))</f>
        <v/>
      </c>
      <c r="C2501">
        <f>IF(A2501="","",B2501+Rechner!$E$7)</f>
        <v/>
      </c>
      <c r="D2501">
        <f>J2500</f>
        <v/>
      </c>
      <c r="E2501">
        <f>IF(A2501="",0,D2501*C2501/100/(DATE(YEAR(A2501)+1,1,1)-DATE(YEAR(A2501),1,1)))</f>
        <v/>
      </c>
      <c r="F2501">
        <f>IF(A2501="",0,SUMIF(Rechner!$A$12:$A$21,A2501,Rechner!$B$12:$B$21))</f>
        <v/>
      </c>
      <c r="G2501">
        <f>H2500+E2501</f>
        <v/>
      </c>
      <c r="H2501">
        <f>G2501-MIN(F2501,G2501)</f>
        <v/>
      </c>
      <c r="I2501">
        <f>MIN(F2501-MIN(F2501,G2501),D2501)</f>
        <v/>
      </c>
      <c r="J2501">
        <f>D2501-I2501</f>
        <v/>
      </c>
      <c r="K2501">
        <f>F2501-MIN(F2501,G2501)-I2501</f>
        <v/>
      </c>
    </row>
    <row r="2502">
      <c r="A2502" s="21">
        <f>IF(Rechner!$E$4&lt;&gt;"ok","",IF(Rechner!$E$5+2500&lt;=Rechner!$B$6,Rechner!$E$5+2500,""))</f>
        <v/>
      </c>
      <c r="B2502">
        <f>IF(A2502="","",LOOKUP(A2502,Basiszins!$A$5:$A$18,Basiszins!$B$5:$B$18))</f>
        <v/>
      </c>
      <c r="C2502">
        <f>IF(A2502="","",B2502+Rechner!$E$7)</f>
        <v/>
      </c>
      <c r="D2502">
        <f>J2501</f>
        <v/>
      </c>
      <c r="E2502">
        <f>IF(A2502="",0,D2502*C2502/100/(DATE(YEAR(A2502)+1,1,1)-DATE(YEAR(A2502),1,1)))</f>
        <v/>
      </c>
      <c r="F2502">
        <f>IF(A2502="",0,SUMIF(Rechner!$A$12:$A$21,A2502,Rechner!$B$12:$B$21))</f>
        <v/>
      </c>
      <c r="G2502">
        <f>H2501+E2502</f>
        <v/>
      </c>
      <c r="H2502">
        <f>G2502-MIN(F2502,G2502)</f>
        <v/>
      </c>
      <c r="I2502">
        <f>MIN(F2502-MIN(F2502,G2502),D2502)</f>
        <v/>
      </c>
      <c r="J2502">
        <f>D2502-I2502</f>
        <v/>
      </c>
      <c r="K2502">
        <f>F2502-MIN(F2502,G2502)-I2502</f>
        <v/>
      </c>
    </row>
    <row r="2503">
      <c r="A2503" s="21">
        <f>IF(Rechner!$E$4&lt;&gt;"ok","",IF(Rechner!$E$5+2501&lt;=Rechner!$B$6,Rechner!$E$5+2501,""))</f>
        <v/>
      </c>
      <c r="B2503">
        <f>IF(A2503="","",LOOKUP(A2503,Basiszins!$A$5:$A$18,Basiszins!$B$5:$B$18))</f>
        <v/>
      </c>
      <c r="C2503">
        <f>IF(A2503="","",B2503+Rechner!$E$7)</f>
        <v/>
      </c>
      <c r="D2503">
        <f>J2502</f>
        <v/>
      </c>
      <c r="E2503">
        <f>IF(A2503="",0,D2503*C2503/100/(DATE(YEAR(A2503)+1,1,1)-DATE(YEAR(A2503),1,1)))</f>
        <v/>
      </c>
      <c r="F2503">
        <f>IF(A2503="",0,SUMIF(Rechner!$A$12:$A$21,A2503,Rechner!$B$12:$B$21))</f>
        <v/>
      </c>
      <c r="G2503">
        <f>H2502+E2503</f>
        <v/>
      </c>
      <c r="H2503">
        <f>G2503-MIN(F2503,G2503)</f>
        <v/>
      </c>
      <c r="I2503">
        <f>MIN(F2503-MIN(F2503,G2503),D2503)</f>
        <v/>
      </c>
      <c r="J2503">
        <f>D2503-I2503</f>
        <v/>
      </c>
      <c r="K2503">
        <f>F2503-MIN(F2503,G2503)-I2503</f>
        <v/>
      </c>
    </row>
    <row r="2504">
      <c r="A2504" s="21">
        <f>IF(Rechner!$E$4&lt;&gt;"ok","",IF(Rechner!$E$5+2502&lt;=Rechner!$B$6,Rechner!$E$5+2502,""))</f>
        <v/>
      </c>
      <c r="B2504">
        <f>IF(A2504="","",LOOKUP(A2504,Basiszins!$A$5:$A$18,Basiszins!$B$5:$B$18))</f>
        <v/>
      </c>
      <c r="C2504">
        <f>IF(A2504="","",B2504+Rechner!$E$7)</f>
        <v/>
      </c>
      <c r="D2504">
        <f>J2503</f>
        <v/>
      </c>
      <c r="E2504">
        <f>IF(A2504="",0,D2504*C2504/100/(DATE(YEAR(A2504)+1,1,1)-DATE(YEAR(A2504),1,1)))</f>
        <v/>
      </c>
      <c r="F2504">
        <f>IF(A2504="",0,SUMIF(Rechner!$A$12:$A$21,A2504,Rechner!$B$12:$B$21))</f>
        <v/>
      </c>
      <c r="G2504">
        <f>H2503+E2504</f>
        <v/>
      </c>
      <c r="H2504">
        <f>G2504-MIN(F2504,G2504)</f>
        <v/>
      </c>
      <c r="I2504">
        <f>MIN(F2504-MIN(F2504,G2504),D2504)</f>
        <v/>
      </c>
      <c r="J2504">
        <f>D2504-I2504</f>
        <v/>
      </c>
      <c r="K2504">
        <f>F2504-MIN(F2504,G2504)-I2504</f>
        <v/>
      </c>
    </row>
    <row r="2505">
      <c r="A2505" s="21">
        <f>IF(Rechner!$E$4&lt;&gt;"ok","",IF(Rechner!$E$5+2503&lt;=Rechner!$B$6,Rechner!$E$5+2503,""))</f>
        <v/>
      </c>
      <c r="B2505">
        <f>IF(A2505="","",LOOKUP(A2505,Basiszins!$A$5:$A$18,Basiszins!$B$5:$B$18))</f>
        <v/>
      </c>
      <c r="C2505">
        <f>IF(A2505="","",B2505+Rechner!$E$7)</f>
        <v/>
      </c>
      <c r="D2505">
        <f>J2504</f>
        <v/>
      </c>
      <c r="E2505">
        <f>IF(A2505="",0,D2505*C2505/100/(DATE(YEAR(A2505)+1,1,1)-DATE(YEAR(A2505),1,1)))</f>
        <v/>
      </c>
      <c r="F2505">
        <f>IF(A2505="",0,SUMIF(Rechner!$A$12:$A$21,A2505,Rechner!$B$12:$B$21))</f>
        <v/>
      </c>
      <c r="G2505">
        <f>H2504+E2505</f>
        <v/>
      </c>
      <c r="H2505">
        <f>G2505-MIN(F2505,G2505)</f>
        <v/>
      </c>
      <c r="I2505">
        <f>MIN(F2505-MIN(F2505,G2505),D2505)</f>
        <v/>
      </c>
      <c r="J2505">
        <f>D2505-I2505</f>
        <v/>
      </c>
      <c r="K2505">
        <f>F2505-MIN(F2505,G2505)-I2505</f>
        <v/>
      </c>
    </row>
    <row r="2506">
      <c r="A2506" s="21">
        <f>IF(Rechner!$E$4&lt;&gt;"ok","",IF(Rechner!$E$5+2504&lt;=Rechner!$B$6,Rechner!$E$5+2504,""))</f>
        <v/>
      </c>
      <c r="B2506">
        <f>IF(A2506="","",LOOKUP(A2506,Basiszins!$A$5:$A$18,Basiszins!$B$5:$B$18))</f>
        <v/>
      </c>
      <c r="C2506">
        <f>IF(A2506="","",B2506+Rechner!$E$7)</f>
        <v/>
      </c>
      <c r="D2506">
        <f>J2505</f>
        <v/>
      </c>
      <c r="E2506">
        <f>IF(A2506="",0,D2506*C2506/100/(DATE(YEAR(A2506)+1,1,1)-DATE(YEAR(A2506),1,1)))</f>
        <v/>
      </c>
      <c r="F2506">
        <f>IF(A2506="",0,SUMIF(Rechner!$A$12:$A$21,A2506,Rechner!$B$12:$B$21))</f>
        <v/>
      </c>
      <c r="G2506">
        <f>H2505+E2506</f>
        <v/>
      </c>
      <c r="H2506">
        <f>G2506-MIN(F2506,G2506)</f>
        <v/>
      </c>
      <c r="I2506">
        <f>MIN(F2506-MIN(F2506,G2506),D2506)</f>
        <v/>
      </c>
      <c r="J2506">
        <f>D2506-I2506</f>
        <v/>
      </c>
      <c r="K2506">
        <f>F2506-MIN(F2506,G2506)-I2506</f>
        <v/>
      </c>
    </row>
    <row r="2507">
      <c r="A2507" s="21">
        <f>IF(Rechner!$E$4&lt;&gt;"ok","",IF(Rechner!$E$5+2505&lt;=Rechner!$B$6,Rechner!$E$5+2505,""))</f>
        <v/>
      </c>
      <c r="B2507">
        <f>IF(A2507="","",LOOKUP(A2507,Basiszins!$A$5:$A$18,Basiszins!$B$5:$B$18))</f>
        <v/>
      </c>
      <c r="C2507">
        <f>IF(A2507="","",B2507+Rechner!$E$7)</f>
        <v/>
      </c>
      <c r="D2507">
        <f>J2506</f>
        <v/>
      </c>
      <c r="E2507">
        <f>IF(A2507="",0,D2507*C2507/100/(DATE(YEAR(A2507)+1,1,1)-DATE(YEAR(A2507),1,1)))</f>
        <v/>
      </c>
      <c r="F2507">
        <f>IF(A2507="",0,SUMIF(Rechner!$A$12:$A$21,A2507,Rechner!$B$12:$B$21))</f>
        <v/>
      </c>
      <c r="G2507">
        <f>H2506+E2507</f>
        <v/>
      </c>
      <c r="H2507">
        <f>G2507-MIN(F2507,G2507)</f>
        <v/>
      </c>
      <c r="I2507">
        <f>MIN(F2507-MIN(F2507,G2507),D2507)</f>
        <v/>
      </c>
      <c r="J2507">
        <f>D2507-I2507</f>
        <v/>
      </c>
      <c r="K2507">
        <f>F2507-MIN(F2507,G2507)-I2507</f>
        <v/>
      </c>
    </row>
    <row r="2508">
      <c r="A2508" s="21">
        <f>IF(Rechner!$E$4&lt;&gt;"ok","",IF(Rechner!$E$5+2506&lt;=Rechner!$B$6,Rechner!$E$5+2506,""))</f>
        <v/>
      </c>
      <c r="B2508">
        <f>IF(A2508="","",LOOKUP(A2508,Basiszins!$A$5:$A$18,Basiszins!$B$5:$B$18))</f>
        <v/>
      </c>
      <c r="C2508">
        <f>IF(A2508="","",B2508+Rechner!$E$7)</f>
        <v/>
      </c>
      <c r="D2508">
        <f>J2507</f>
        <v/>
      </c>
      <c r="E2508">
        <f>IF(A2508="",0,D2508*C2508/100/(DATE(YEAR(A2508)+1,1,1)-DATE(YEAR(A2508),1,1)))</f>
        <v/>
      </c>
      <c r="F2508">
        <f>IF(A2508="",0,SUMIF(Rechner!$A$12:$A$21,A2508,Rechner!$B$12:$B$21))</f>
        <v/>
      </c>
      <c r="G2508">
        <f>H2507+E2508</f>
        <v/>
      </c>
      <c r="H2508">
        <f>G2508-MIN(F2508,G2508)</f>
        <v/>
      </c>
      <c r="I2508">
        <f>MIN(F2508-MIN(F2508,G2508),D2508)</f>
        <v/>
      </c>
      <c r="J2508">
        <f>D2508-I2508</f>
        <v/>
      </c>
      <c r="K2508">
        <f>F2508-MIN(F2508,G2508)-I2508</f>
        <v/>
      </c>
    </row>
    <row r="2509">
      <c r="A2509" s="21">
        <f>IF(Rechner!$E$4&lt;&gt;"ok","",IF(Rechner!$E$5+2507&lt;=Rechner!$B$6,Rechner!$E$5+2507,""))</f>
        <v/>
      </c>
      <c r="B2509">
        <f>IF(A2509="","",LOOKUP(A2509,Basiszins!$A$5:$A$18,Basiszins!$B$5:$B$18))</f>
        <v/>
      </c>
      <c r="C2509">
        <f>IF(A2509="","",B2509+Rechner!$E$7)</f>
        <v/>
      </c>
      <c r="D2509">
        <f>J2508</f>
        <v/>
      </c>
      <c r="E2509">
        <f>IF(A2509="",0,D2509*C2509/100/(DATE(YEAR(A2509)+1,1,1)-DATE(YEAR(A2509),1,1)))</f>
        <v/>
      </c>
      <c r="F2509">
        <f>IF(A2509="",0,SUMIF(Rechner!$A$12:$A$21,A2509,Rechner!$B$12:$B$21))</f>
        <v/>
      </c>
      <c r="G2509">
        <f>H2508+E2509</f>
        <v/>
      </c>
      <c r="H2509">
        <f>G2509-MIN(F2509,G2509)</f>
        <v/>
      </c>
      <c r="I2509">
        <f>MIN(F2509-MIN(F2509,G2509),D2509)</f>
        <v/>
      </c>
      <c r="J2509">
        <f>D2509-I2509</f>
        <v/>
      </c>
      <c r="K2509">
        <f>F2509-MIN(F2509,G2509)-I2509</f>
        <v/>
      </c>
    </row>
    <row r="2510">
      <c r="A2510" s="21">
        <f>IF(Rechner!$E$4&lt;&gt;"ok","",IF(Rechner!$E$5+2508&lt;=Rechner!$B$6,Rechner!$E$5+2508,""))</f>
        <v/>
      </c>
      <c r="B2510">
        <f>IF(A2510="","",LOOKUP(A2510,Basiszins!$A$5:$A$18,Basiszins!$B$5:$B$18))</f>
        <v/>
      </c>
      <c r="C2510">
        <f>IF(A2510="","",B2510+Rechner!$E$7)</f>
        <v/>
      </c>
      <c r="D2510">
        <f>J2509</f>
        <v/>
      </c>
      <c r="E2510">
        <f>IF(A2510="",0,D2510*C2510/100/(DATE(YEAR(A2510)+1,1,1)-DATE(YEAR(A2510),1,1)))</f>
        <v/>
      </c>
      <c r="F2510">
        <f>IF(A2510="",0,SUMIF(Rechner!$A$12:$A$21,A2510,Rechner!$B$12:$B$21))</f>
        <v/>
      </c>
      <c r="G2510">
        <f>H2509+E2510</f>
        <v/>
      </c>
      <c r="H2510">
        <f>G2510-MIN(F2510,G2510)</f>
        <v/>
      </c>
      <c r="I2510">
        <f>MIN(F2510-MIN(F2510,G2510),D2510)</f>
        <v/>
      </c>
      <c r="J2510">
        <f>D2510-I2510</f>
        <v/>
      </c>
      <c r="K2510">
        <f>F2510-MIN(F2510,G2510)-I2510</f>
        <v/>
      </c>
    </row>
    <row r="2511">
      <c r="A2511" s="21">
        <f>IF(Rechner!$E$4&lt;&gt;"ok","",IF(Rechner!$E$5+2509&lt;=Rechner!$B$6,Rechner!$E$5+2509,""))</f>
        <v/>
      </c>
      <c r="B2511">
        <f>IF(A2511="","",LOOKUP(A2511,Basiszins!$A$5:$A$18,Basiszins!$B$5:$B$18))</f>
        <v/>
      </c>
      <c r="C2511">
        <f>IF(A2511="","",B2511+Rechner!$E$7)</f>
        <v/>
      </c>
      <c r="D2511">
        <f>J2510</f>
        <v/>
      </c>
      <c r="E2511">
        <f>IF(A2511="",0,D2511*C2511/100/(DATE(YEAR(A2511)+1,1,1)-DATE(YEAR(A2511),1,1)))</f>
        <v/>
      </c>
      <c r="F2511">
        <f>IF(A2511="",0,SUMIF(Rechner!$A$12:$A$21,A2511,Rechner!$B$12:$B$21))</f>
        <v/>
      </c>
      <c r="G2511">
        <f>H2510+E2511</f>
        <v/>
      </c>
      <c r="H2511">
        <f>G2511-MIN(F2511,G2511)</f>
        <v/>
      </c>
      <c r="I2511">
        <f>MIN(F2511-MIN(F2511,G2511),D2511)</f>
        <v/>
      </c>
      <c r="J2511">
        <f>D2511-I2511</f>
        <v/>
      </c>
      <c r="K2511">
        <f>F2511-MIN(F2511,G2511)-I2511</f>
        <v/>
      </c>
    </row>
    <row r="2512">
      <c r="A2512" s="21">
        <f>IF(Rechner!$E$4&lt;&gt;"ok","",IF(Rechner!$E$5+2510&lt;=Rechner!$B$6,Rechner!$E$5+2510,""))</f>
        <v/>
      </c>
      <c r="B2512">
        <f>IF(A2512="","",LOOKUP(A2512,Basiszins!$A$5:$A$18,Basiszins!$B$5:$B$18))</f>
        <v/>
      </c>
      <c r="C2512">
        <f>IF(A2512="","",B2512+Rechner!$E$7)</f>
        <v/>
      </c>
      <c r="D2512">
        <f>J2511</f>
        <v/>
      </c>
      <c r="E2512">
        <f>IF(A2512="",0,D2512*C2512/100/(DATE(YEAR(A2512)+1,1,1)-DATE(YEAR(A2512),1,1)))</f>
        <v/>
      </c>
      <c r="F2512">
        <f>IF(A2512="",0,SUMIF(Rechner!$A$12:$A$21,A2512,Rechner!$B$12:$B$21))</f>
        <v/>
      </c>
      <c r="G2512">
        <f>H2511+E2512</f>
        <v/>
      </c>
      <c r="H2512">
        <f>G2512-MIN(F2512,G2512)</f>
        <v/>
      </c>
      <c r="I2512">
        <f>MIN(F2512-MIN(F2512,G2512),D2512)</f>
        <v/>
      </c>
      <c r="J2512">
        <f>D2512-I2512</f>
        <v/>
      </c>
      <c r="K2512">
        <f>F2512-MIN(F2512,G2512)-I2512</f>
        <v/>
      </c>
    </row>
    <row r="2513">
      <c r="A2513" s="21">
        <f>IF(Rechner!$E$4&lt;&gt;"ok","",IF(Rechner!$E$5+2511&lt;=Rechner!$B$6,Rechner!$E$5+2511,""))</f>
        <v/>
      </c>
      <c r="B2513">
        <f>IF(A2513="","",LOOKUP(A2513,Basiszins!$A$5:$A$18,Basiszins!$B$5:$B$18))</f>
        <v/>
      </c>
      <c r="C2513">
        <f>IF(A2513="","",B2513+Rechner!$E$7)</f>
        <v/>
      </c>
      <c r="D2513">
        <f>J2512</f>
        <v/>
      </c>
      <c r="E2513">
        <f>IF(A2513="",0,D2513*C2513/100/(DATE(YEAR(A2513)+1,1,1)-DATE(YEAR(A2513),1,1)))</f>
        <v/>
      </c>
      <c r="F2513">
        <f>IF(A2513="",0,SUMIF(Rechner!$A$12:$A$21,A2513,Rechner!$B$12:$B$21))</f>
        <v/>
      </c>
      <c r="G2513">
        <f>H2512+E2513</f>
        <v/>
      </c>
      <c r="H2513">
        <f>G2513-MIN(F2513,G2513)</f>
        <v/>
      </c>
      <c r="I2513">
        <f>MIN(F2513-MIN(F2513,G2513),D2513)</f>
        <v/>
      </c>
      <c r="J2513">
        <f>D2513-I2513</f>
        <v/>
      </c>
      <c r="K2513">
        <f>F2513-MIN(F2513,G2513)-I2513</f>
        <v/>
      </c>
    </row>
    <row r="2514">
      <c r="A2514" s="21">
        <f>IF(Rechner!$E$4&lt;&gt;"ok","",IF(Rechner!$E$5+2512&lt;=Rechner!$B$6,Rechner!$E$5+2512,""))</f>
        <v/>
      </c>
      <c r="B2514">
        <f>IF(A2514="","",LOOKUP(A2514,Basiszins!$A$5:$A$18,Basiszins!$B$5:$B$18))</f>
        <v/>
      </c>
      <c r="C2514">
        <f>IF(A2514="","",B2514+Rechner!$E$7)</f>
        <v/>
      </c>
      <c r="D2514">
        <f>J2513</f>
        <v/>
      </c>
      <c r="E2514">
        <f>IF(A2514="",0,D2514*C2514/100/(DATE(YEAR(A2514)+1,1,1)-DATE(YEAR(A2514),1,1)))</f>
        <v/>
      </c>
      <c r="F2514">
        <f>IF(A2514="",0,SUMIF(Rechner!$A$12:$A$21,A2514,Rechner!$B$12:$B$21))</f>
        <v/>
      </c>
      <c r="G2514">
        <f>H2513+E2514</f>
        <v/>
      </c>
      <c r="H2514">
        <f>G2514-MIN(F2514,G2514)</f>
        <v/>
      </c>
      <c r="I2514">
        <f>MIN(F2514-MIN(F2514,G2514),D2514)</f>
        <v/>
      </c>
      <c r="J2514">
        <f>D2514-I2514</f>
        <v/>
      </c>
      <c r="K2514">
        <f>F2514-MIN(F2514,G2514)-I2514</f>
        <v/>
      </c>
    </row>
    <row r="2515">
      <c r="A2515" s="21">
        <f>IF(Rechner!$E$4&lt;&gt;"ok","",IF(Rechner!$E$5+2513&lt;=Rechner!$B$6,Rechner!$E$5+2513,""))</f>
        <v/>
      </c>
      <c r="B2515">
        <f>IF(A2515="","",LOOKUP(A2515,Basiszins!$A$5:$A$18,Basiszins!$B$5:$B$18))</f>
        <v/>
      </c>
      <c r="C2515">
        <f>IF(A2515="","",B2515+Rechner!$E$7)</f>
        <v/>
      </c>
      <c r="D2515">
        <f>J2514</f>
        <v/>
      </c>
      <c r="E2515">
        <f>IF(A2515="",0,D2515*C2515/100/(DATE(YEAR(A2515)+1,1,1)-DATE(YEAR(A2515),1,1)))</f>
        <v/>
      </c>
      <c r="F2515">
        <f>IF(A2515="",0,SUMIF(Rechner!$A$12:$A$21,A2515,Rechner!$B$12:$B$21))</f>
        <v/>
      </c>
      <c r="G2515">
        <f>H2514+E2515</f>
        <v/>
      </c>
      <c r="H2515">
        <f>G2515-MIN(F2515,G2515)</f>
        <v/>
      </c>
      <c r="I2515">
        <f>MIN(F2515-MIN(F2515,G2515),D2515)</f>
        <v/>
      </c>
      <c r="J2515">
        <f>D2515-I2515</f>
        <v/>
      </c>
      <c r="K2515">
        <f>F2515-MIN(F2515,G2515)-I2515</f>
        <v/>
      </c>
    </row>
    <row r="2516">
      <c r="A2516" s="21">
        <f>IF(Rechner!$E$4&lt;&gt;"ok","",IF(Rechner!$E$5+2514&lt;=Rechner!$B$6,Rechner!$E$5+2514,""))</f>
        <v/>
      </c>
      <c r="B2516">
        <f>IF(A2516="","",LOOKUP(A2516,Basiszins!$A$5:$A$18,Basiszins!$B$5:$B$18))</f>
        <v/>
      </c>
      <c r="C2516">
        <f>IF(A2516="","",B2516+Rechner!$E$7)</f>
        <v/>
      </c>
      <c r="D2516">
        <f>J2515</f>
        <v/>
      </c>
      <c r="E2516">
        <f>IF(A2516="",0,D2516*C2516/100/(DATE(YEAR(A2516)+1,1,1)-DATE(YEAR(A2516),1,1)))</f>
        <v/>
      </c>
      <c r="F2516">
        <f>IF(A2516="",0,SUMIF(Rechner!$A$12:$A$21,A2516,Rechner!$B$12:$B$21))</f>
        <v/>
      </c>
      <c r="G2516">
        <f>H2515+E2516</f>
        <v/>
      </c>
      <c r="H2516">
        <f>G2516-MIN(F2516,G2516)</f>
        <v/>
      </c>
      <c r="I2516">
        <f>MIN(F2516-MIN(F2516,G2516),D2516)</f>
        <v/>
      </c>
      <c r="J2516">
        <f>D2516-I2516</f>
        <v/>
      </c>
      <c r="K2516">
        <f>F2516-MIN(F2516,G2516)-I2516</f>
        <v/>
      </c>
    </row>
    <row r="2517">
      <c r="A2517" s="21">
        <f>IF(Rechner!$E$4&lt;&gt;"ok","",IF(Rechner!$E$5+2515&lt;=Rechner!$B$6,Rechner!$E$5+2515,""))</f>
        <v/>
      </c>
      <c r="B2517">
        <f>IF(A2517="","",LOOKUP(A2517,Basiszins!$A$5:$A$18,Basiszins!$B$5:$B$18))</f>
        <v/>
      </c>
      <c r="C2517">
        <f>IF(A2517="","",B2517+Rechner!$E$7)</f>
        <v/>
      </c>
      <c r="D2517">
        <f>J2516</f>
        <v/>
      </c>
      <c r="E2517">
        <f>IF(A2517="",0,D2517*C2517/100/(DATE(YEAR(A2517)+1,1,1)-DATE(YEAR(A2517),1,1)))</f>
        <v/>
      </c>
      <c r="F2517">
        <f>IF(A2517="",0,SUMIF(Rechner!$A$12:$A$21,A2517,Rechner!$B$12:$B$21))</f>
        <v/>
      </c>
      <c r="G2517">
        <f>H2516+E2517</f>
        <v/>
      </c>
      <c r="H2517">
        <f>G2517-MIN(F2517,G2517)</f>
        <v/>
      </c>
      <c r="I2517">
        <f>MIN(F2517-MIN(F2517,G2517),D2517)</f>
        <v/>
      </c>
      <c r="J2517">
        <f>D2517-I2517</f>
        <v/>
      </c>
      <c r="K2517">
        <f>F2517-MIN(F2517,G2517)-I2517</f>
        <v/>
      </c>
    </row>
    <row r="2518">
      <c r="A2518" s="21">
        <f>IF(Rechner!$E$4&lt;&gt;"ok","",IF(Rechner!$E$5+2516&lt;=Rechner!$B$6,Rechner!$E$5+2516,""))</f>
        <v/>
      </c>
      <c r="B2518">
        <f>IF(A2518="","",LOOKUP(A2518,Basiszins!$A$5:$A$18,Basiszins!$B$5:$B$18))</f>
        <v/>
      </c>
      <c r="C2518">
        <f>IF(A2518="","",B2518+Rechner!$E$7)</f>
        <v/>
      </c>
      <c r="D2518">
        <f>J2517</f>
        <v/>
      </c>
      <c r="E2518">
        <f>IF(A2518="",0,D2518*C2518/100/(DATE(YEAR(A2518)+1,1,1)-DATE(YEAR(A2518),1,1)))</f>
        <v/>
      </c>
      <c r="F2518">
        <f>IF(A2518="",0,SUMIF(Rechner!$A$12:$A$21,A2518,Rechner!$B$12:$B$21))</f>
        <v/>
      </c>
      <c r="G2518">
        <f>H2517+E2518</f>
        <v/>
      </c>
      <c r="H2518">
        <f>G2518-MIN(F2518,G2518)</f>
        <v/>
      </c>
      <c r="I2518">
        <f>MIN(F2518-MIN(F2518,G2518),D2518)</f>
        <v/>
      </c>
      <c r="J2518">
        <f>D2518-I2518</f>
        <v/>
      </c>
      <c r="K2518">
        <f>F2518-MIN(F2518,G2518)-I2518</f>
        <v/>
      </c>
    </row>
    <row r="2519">
      <c r="A2519" s="21">
        <f>IF(Rechner!$E$4&lt;&gt;"ok","",IF(Rechner!$E$5+2517&lt;=Rechner!$B$6,Rechner!$E$5+2517,""))</f>
        <v/>
      </c>
      <c r="B2519">
        <f>IF(A2519="","",LOOKUP(A2519,Basiszins!$A$5:$A$18,Basiszins!$B$5:$B$18))</f>
        <v/>
      </c>
      <c r="C2519">
        <f>IF(A2519="","",B2519+Rechner!$E$7)</f>
        <v/>
      </c>
      <c r="D2519">
        <f>J2518</f>
        <v/>
      </c>
      <c r="E2519">
        <f>IF(A2519="",0,D2519*C2519/100/(DATE(YEAR(A2519)+1,1,1)-DATE(YEAR(A2519),1,1)))</f>
        <v/>
      </c>
      <c r="F2519">
        <f>IF(A2519="",0,SUMIF(Rechner!$A$12:$A$21,A2519,Rechner!$B$12:$B$21))</f>
        <v/>
      </c>
      <c r="G2519">
        <f>H2518+E2519</f>
        <v/>
      </c>
      <c r="H2519">
        <f>G2519-MIN(F2519,G2519)</f>
        <v/>
      </c>
      <c r="I2519">
        <f>MIN(F2519-MIN(F2519,G2519),D2519)</f>
        <v/>
      </c>
      <c r="J2519">
        <f>D2519-I2519</f>
        <v/>
      </c>
      <c r="K2519">
        <f>F2519-MIN(F2519,G2519)-I2519</f>
        <v/>
      </c>
    </row>
    <row r="2520">
      <c r="A2520" s="21">
        <f>IF(Rechner!$E$4&lt;&gt;"ok","",IF(Rechner!$E$5+2518&lt;=Rechner!$B$6,Rechner!$E$5+2518,""))</f>
        <v/>
      </c>
      <c r="B2520">
        <f>IF(A2520="","",LOOKUP(A2520,Basiszins!$A$5:$A$18,Basiszins!$B$5:$B$18))</f>
        <v/>
      </c>
      <c r="C2520">
        <f>IF(A2520="","",B2520+Rechner!$E$7)</f>
        <v/>
      </c>
      <c r="D2520">
        <f>J2519</f>
        <v/>
      </c>
      <c r="E2520">
        <f>IF(A2520="",0,D2520*C2520/100/(DATE(YEAR(A2520)+1,1,1)-DATE(YEAR(A2520),1,1)))</f>
        <v/>
      </c>
      <c r="F2520">
        <f>IF(A2520="",0,SUMIF(Rechner!$A$12:$A$21,A2520,Rechner!$B$12:$B$21))</f>
        <v/>
      </c>
      <c r="G2520">
        <f>H2519+E2520</f>
        <v/>
      </c>
      <c r="H2520">
        <f>G2520-MIN(F2520,G2520)</f>
        <v/>
      </c>
      <c r="I2520">
        <f>MIN(F2520-MIN(F2520,G2520),D2520)</f>
        <v/>
      </c>
      <c r="J2520">
        <f>D2520-I2520</f>
        <v/>
      </c>
      <c r="K2520">
        <f>F2520-MIN(F2520,G2520)-I2520</f>
        <v/>
      </c>
    </row>
    <row r="2521">
      <c r="A2521" s="21">
        <f>IF(Rechner!$E$4&lt;&gt;"ok","",IF(Rechner!$E$5+2519&lt;=Rechner!$B$6,Rechner!$E$5+2519,""))</f>
        <v/>
      </c>
      <c r="B2521">
        <f>IF(A2521="","",LOOKUP(A2521,Basiszins!$A$5:$A$18,Basiszins!$B$5:$B$18))</f>
        <v/>
      </c>
      <c r="C2521">
        <f>IF(A2521="","",B2521+Rechner!$E$7)</f>
        <v/>
      </c>
      <c r="D2521">
        <f>J2520</f>
        <v/>
      </c>
      <c r="E2521">
        <f>IF(A2521="",0,D2521*C2521/100/(DATE(YEAR(A2521)+1,1,1)-DATE(YEAR(A2521),1,1)))</f>
        <v/>
      </c>
      <c r="F2521">
        <f>IF(A2521="",0,SUMIF(Rechner!$A$12:$A$21,A2521,Rechner!$B$12:$B$21))</f>
        <v/>
      </c>
      <c r="G2521">
        <f>H2520+E2521</f>
        <v/>
      </c>
      <c r="H2521">
        <f>G2521-MIN(F2521,G2521)</f>
        <v/>
      </c>
      <c r="I2521">
        <f>MIN(F2521-MIN(F2521,G2521),D2521)</f>
        <v/>
      </c>
      <c r="J2521">
        <f>D2521-I2521</f>
        <v/>
      </c>
      <c r="K2521">
        <f>F2521-MIN(F2521,G2521)-I2521</f>
        <v/>
      </c>
    </row>
    <row r="2522">
      <c r="A2522" s="21">
        <f>IF(Rechner!$E$4&lt;&gt;"ok","",IF(Rechner!$E$5+2520&lt;=Rechner!$B$6,Rechner!$E$5+2520,""))</f>
        <v/>
      </c>
      <c r="B2522">
        <f>IF(A2522="","",LOOKUP(A2522,Basiszins!$A$5:$A$18,Basiszins!$B$5:$B$18))</f>
        <v/>
      </c>
      <c r="C2522">
        <f>IF(A2522="","",B2522+Rechner!$E$7)</f>
        <v/>
      </c>
      <c r="D2522">
        <f>J2521</f>
        <v/>
      </c>
      <c r="E2522">
        <f>IF(A2522="",0,D2522*C2522/100/(DATE(YEAR(A2522)+1,1,1)-DATE(YEAR(A2522),1,1)))</f>
        <v/>
      </c>
      <c r="F2522">
        <f>IF(A2522="",0,SUMIF(Rechner!$A$12:$A$21,A2522,Rechner!$B$12:$B$21))</f>
        <v/>
      </c>
      <c r="G2522">
        <f>H2521+E2522</f>
        <v/>
      </c>
      <c r="H2522">
        <f>G2522-MIN(F2522,G2522)</f>
        <v/>
      </c>
      <c r="I2522">
        <f>MIN(F2522-MIN(F2522,G2522),D2522)</f>
        <v/>
      </c>
      <c r="J2522">
        <f>D2522-I2522</f>
        <v/>
      </c>
      <c r="K2522">
        <f>F2522-MIN(F2522,G2522)-I2522</f>
        <v/>
      </c>
    </row>
    <row r="2523">
      <c r="A2523" s="21">
        <f>IF(Rechner!$E$4&lt;&gt;"ok","",IF(Rechner!$E$5+2521&lt;=Rechner!$B$6,Rechner!$E$5+2521,""))</f>
        <v/>
      </c>
      <c r="B2523">
        <f>IF(A2523="","",LOOKUP(A2523,Basiszins!$A$5:$A$18,Basiszins!$B$5:$B$18))</f>
        <v/>
      </c>
      <c r="C2523">
        <f>IF(A2523="","",B2523+Rechner!$E$7)</f>
        <v/>
      </c>
      <c r="D2523">
        <f>J2522</f>
        <v/>
      </c>
      <c r="E2523">
        <f>IF(A2523="",0,D2523*C2523/100/(DATE(YEAR(A2523)+1,1,1)-DATE(YEAR(A2523),1,1)))</f>
        <v/>
      </c>
      <c r="F2523">
        <f>IF(A2523="",0,SUMIF(Rechner!$A$12:$A$21,A2523,Rechner!$B$12:$B$21))</f>
        <v/>
      </c>
      <c r="G2523">
        <f>H2522+E2523</f>
        <v/>
      </c>
      <c r="H2523">
        <f>G2523-MIN(F2523,G2523)</f>
        <v/>
      </c>
      <c r="I2523">
        <f>MIN(F2523-MIN(F2523,G2523),D2523)</f>
        <v/>
      </c>
      <c r="J2523">
        <f>D2523-I2523</f>
        <v/>
      </c>
      <c r="K2523">
        <f>F2523-MIN(F2523,G2523)-I2523</f>
        <v/>
      </c>
    </row>
    <row r="2524">
      <c r="A2524" s="21">
        <f>IF(Rechner!$E$4&lt;&gt;"ok","",IF(Rechner!$E$5+2522&lt;=Rechner!$B$6,Rechner!$E$5+2522,""))</f>
        <v/>
      </c>
      <c r="B2524">
        <f>IF(A2524="","",LOOKUP(A2524,Basiszins!$A$5:$A$18,Basiszins!$B$5:$B$18))</f>
        <v/>
      </c>
      <c r="C2524">
        <f>IF(A2524="","",B2524+Rechner!$E$7)</f>
        <v/>
      </c>
      <c r="D2524">
        <f>J2523</f>
        <v/>
      </c>
      <c r="E2524">
        <f>IF(A2524="",0,D2524*C2524/100/(DATE(YEAR(A2524)+1,1,1)-DATE(YEAR(A2524),1,1)))</f>
        <v/>
      </c>
      <c r="F2524">
        <f>IF(A2524="",0,SUMIF(Rechner!$A$12:$A$21,A2524,Rechner!$B$12:$B$21))</f>
        <v/>
      </c>
      <c r="G2524">
        <f>H2523+E2524</f>
        <v/>
      </c>
      <c r="H2524">
        <f>G2524-MIN(F2524,G2524)</f>
        <v/>
      </c>
      <c r="I2524">
        <f>MIN(F2524-MIN(F2524,G2524),D2524)</f>
        <v/>
      </c>
      <c r="J2524">
        <f>D2524-I2524</f>
        <v/>
      </c>
      <c r="K2524">
        <f>F2524-MIN(F2524,G2524)-I2524</f>
        <v/>
      </c>
    </row>
    <row r="2525">
      <c r="A2525" s="21">
        <f>IF(Rechner!$E$4&lt;&gt;"ok","",IF(Rechner!$E$5+2523&lt;=Rechner!$B$6,Rechner!$E$5+2523,""))</f>
        <v/>
      </c>
      <c r="B2525">
        <f>IF(A2525="","",LOOKUP(A2525,Basiszins!$A$5:$A$18,Basiszins!$B$5:$B$18))</f>
        <v/>
      </c>
      <c r="C2525">
        <f>IF(A2525="","",B2525+Rechner!$E$7)</f>
        <v/>
      </c>
      <c r="D2525">
        <f>J2524</f>
        <v/>
      </c>
      <c r="E2525">
        <f>IF(A2525="",0,D2525*C2525/100/(DATE(YEAR(A2525)+1,1,1)-DATE(YEAR(A2525),1,1)))</f>
        <v/>
      </c>
      <c r="F2525">
        <f>IF(A2525="",0,SUMIF(Rechner!$A$12:$A$21,A2525,Rechner!$B$12:$B$21))</f>
        <v/>
      </c>
      <c r="G2525">
        <f>H2524+E2525</f>
        <v/>
      </c>
      <c r="H2525">
        <f>G2525-MIN(F2525,G2525)</f>
        <v/>
      </c>
      <c r="I2525">
        <f>MIN(F2525-MIN(F2525,G2525),D2525)</f>
        <v/>
      </c>
      <c r="J2525">
        <f>D2525-I2525</f>
        <v/>
      </c>
      <c r="K2525">
        <f>F2525-MIN(F2525,G2525)-I2525</f>
        <v/>
      </c>
    </row>
    <row r="2526">
      <c r="A2526" s="21">
        <f>IF(Rechner!$E$4&lt;&gt;"ok","",IF(Rechner!$E$5+2524&lt;=Rechner!$B$6,Rechner!$E$5+2524,""))</f>
        <v/>
      </c>
      <c r="B2526">
        <f>IF(A2526="","",LOOKUP(A2526,Basiszins!$A$5:$A$18,Basiszins!$B$5:$B$18))</f>
        <v/>
      </c>
      <c r="C2526">
        <f>IF(A2526="","",B2526+Rechner!$E$7)</f>
        <v/>
      </c>
      <c r="D2526">
        <f>J2525</f>
        <v/>
      </c>
      <c r="E2526">
        <f>IF(A2526="",0,D2526*C2526/100/(DATE(YEAR(A2526)+1,1,1)-DATE(YEAR(A2526),1,1)))</f>
        <v/>
      </c>
      <c r="F2526">
        <f>IF(A2526="",0,SUMIF(Rechner!$A$12:$A$21,A2526,Rechner!$B$12:$B$21))</f>
        <v/>
      </c>
      <c r="G2526">
        <f>H2525+E2526</f>
        <v/>
      </c>
      <c r="H2526">
        <f>G2526-MIN(F2526,G2526)</f>
        <v/>
      </c>
      <c r="I2526">
        <f>MIN(F2526-MIN(F2526,G2526),D2526)</f>
        <v/>
      </c>
      <c r="J2526">
        <f>D2526-I2526</f>
        <v/>
      </c>
      <c r="K2526">
        <f>F2526-MIN(F2526,G2526)-I2526</f>
        <v/>
      </c>
    </row>
    <row r="2527">
      <c r="A2527" s="21">
        <f>IF(Rechner!$E$4&lt;&gt;"ok","",IF(Rechner!$E$5+2525&lt;=Rechner!$B$6,Rechner!$E$5+2525,""))</f>
        <v/>
      </c>
      <c r="B2527">
        <f>IF(A2527="","",LOOKUP(A2527,Basiszins!$A$5:$A$18,Basiszins!$B$5:$B$18))</f>
        <v/>
      </c>
      <c r="C2527">
        <f>IF(A2527="","",B2527+Rechner!$E$7)</f>
        <v/>
      </c>
      <c r="D2527">
        <f>J2526</f>
        <v/>
      </c>
      <c r="E2527">
        <f>IF(A2527="",0,D2527*C2527/100/(DATE(YEAR(A2527)+1,1,1)-DATE(YEAR(A2527),1,1)))</f>
        <v/>
      </c>
      <c r="F2527">
        <f>IF(A2527="",0,SUMIF(Rechner!$A$12:$A$21,A2527,Rechner!$B$12:$B$21))</f>
        <v/>
      </c>
      <c r="G2527">
        <f>H2526+E2527</f>
        <v/>
      </c>
      <c r="H2527">
        <f>G2527-MIN(F2527,G2527)</f>
        <v/>
      </c>
      <c r="I2527">
        <f>MIN(F2527-MIN(F2527,G2527),D2527)</f>
        <v/>
      </c>
      <c r="J2527">
        <f>D2527-I2527</f>
        <v/>
      </c>
      <c r="K2527">
        <f>F2527-MIN(F2527,G2527)-I2527</f>
        <v/>
      </c>
    </row>
    <row r="2528">
      <c r="A2528" s="21">
        <f>IF(Rechner!$E$4&lt;&gt;"ok","",IF(Rechner!$E$5+2526&lt;=Rechner!$B$6,Rechner!$E$5+2526,""))</f>
        <v/>
      </c>
      <c r="B2528">
        <f>IF(A2528="","",LOOKUP(A2528,Basiszins!$A$5:$A$18,Basiszins!$B$5:$B$18))</f>
        <v/>
      </c>
      <c r="C2528">
        <f>IF(A2528="","",B2528+Rechner!$E$7)</f>
        <v/>
      </c>
      <c r="D2528">
        <f>J2527</f>
        <v/>
      </c>
      <c r="E2528">
        <f>IF(A2528="",0,D2528*C2528/100/(DATE(YEAR(A2528)+1,1,1)-DATE(YEAR(A2528),1,1)))</f>
        <v/>
      </c>
      <c r="F2528">
        <f>IF(A2528="",0,SUMIF(Rechner!$A$12:$A$21,A2528,Rechner!$B$12:$B$21))</f>
        <v/>
      </c>
      <c r="G2528">
        <f>H2527+E2528</f>
        <v/>
      </c>
      <c r="H2528">
        <f>G2528-MIN(F2528,G2528)</f>
        <v/>
      </c>
      <c r="I2528">
        <f>MIN(F2528-MIN(F2528,G2528),D2528)</f>
        <v/>
      </c>
      <c r="J2528">
        <f>D2528-I2528</f>
        <v/>
      </c>
      <c r="K2528">
        <f>F2528-MIN(F2528,G2528)-I2528</f>
        <v/>
      </c>
    </row>
    <row r="2529">
      <c r="A2529" s="21">
        <f>IF(Rechner!$E$4&lt;&gt;"ok","",IF(Rechner!$E$5+2527&lt;=Rechner!$B$6,Rechner!$E$5+2527,""))</f>
        <v/>
      </c>
      <c r="B2529">
        <f>IF(A2529="","",LOOKUP(A2529,Basiszins!$A$5:$A$18,Basiszins!$B$5:$B$18))</f>
        <v/>
      </c>
      <c r="C2529">
        <f>IF(A2529="","",B2529+Rechner!$E$7)</f>
        <v/>
      </c>
      <c r="D2529">
        <f>J2528</f>
        <v/>
      </c>
      <c r="E2529">
        <f>IF(A2529="",0,D2529*C2529/100/(DATE(YEAR(A2529)+1,1,1)-DATE(YEAR(A2529),1,1)))</f>
        <v/>
      </c>
      <c r="F2529">
        <f>IF(A2529="",0,SUMIF(Rechner!$A$12:$A$21,A2529,Rechner!$B$12:$B$21))</f>
        <v/>
      </c>
      <c r="G2529">
        <f>H2528+E2529</f>
        <v/>
      </c>
      <c r="H2529">
        <f>G2529-MIN(F2529,G2529)</f>
        <v/>
      </c>
      <c r="I2529">
        <f>MIN(F2529-MIN(F2529,G2529),D2529)</f>
        <v/>
      </c>
      <c r="J2529">
        <f>D2529-I2529</f>
        <v/>
      </c>
      <c r="K2529">
        <f>F2529-MIN(F2529,G2529)-I2529</f>
        <v/>
      </c>
    </row>
    <row r="2530">
      <c r="A2530" s="21">
        <f>IF(Rechner!$E$4&lt;&gt;"ok","",IF(Rechner!$E$5+2528&lt;=Rechner!$B$6,Rechner!$E$5+2528,""))</f>
        <v/>
      </c>
      <c r="B2530">
        <f>IF(A2530="","",LOOKUP(A2530,Basiszins!$A$5:$A$18,Basiszins!$B$5:$B$18))</f>
        <v/>
      </c>
      <c r="C2530">
        <f>IF(A2530="","",B2530+Rechner!$E$7)</f>
        <v/>
      </c>
      <c r="D2530">
        <f>J2529</f>
        <v/>
      </c>
      <c r="E2530">
        <f>IF(A2530="",0,D2530*C2530/100/(DATE(YEAR(A2530)+1,1,1)-DATE(YEAR(A2530),1,1)))</f>
        <v/>
      </c>
      <c r="F2530">
        <f>IF(A2530="",0,SUMIF(Rechner!$A$12:$A$21,A2530,Rechner!$B$12:$B$21))</f>
        <v/>
      </c>
      <c r="G2530">
        <f>H2529+E2530</f>
        <v/>
      </c>
      <c r="H2530">
        <f>G2530-MIN(F2530,G2530)</f>
        <v/>
      </c>
      <c r="I2530">
        <f>MIN(F2530-MIN(F2530,G2530),D2530)</f>
        <v/>
      </c>
      <c r="J2530">
        <f>D2530-I2530</f>
        <v/>
      </c>
      <c r="K2530">
        <f>F2530-MIN(F2530,G2530)-I2530</f>
        <v/>
      </c>
    </row>
    <row r="2531">
      <c r="A2531" s="21">
        <f>IF(Rechner!$E$4&lt;&gt;"ok","",IF(Rechner!$E$5+2529&lt;=Rechner!$B$6,Rechner!$E$5+2529,""))</f>
        <v/>
      </c>
      <c r="B2531">
        <f>IF(A2531="","",LOOKUP(A2531,Basiszins!$A$5:$A$18,Basiszins!$B$5:$B$18))</f>
        <v/>
      </c>
      <c r="C2531">
        <f>IF(A2531="","",B2531+Rechner!$E$7)</f>
        <v/>
      </c>
      <c r="D2531">
        <f>J2530</f>
        <v/>
      </c>
      <c r="E2531">
        <f>IF(A2531="",0,D2531*C2531/100/(DATE(YEAR(A2531)+1,1,1)-DATE(YEAR(A2531),1,1)))</f>
        <v/>
      </c>
      <c r="F2531">
        <f>IF(A2531="",0,SUMIF(Rechner!$A$12:$A$21,A2531,Rechner!$B$12:$B$21))</f>
        <v/>
      </c>
      <c r="G2531">
        <f>H2530+E2531</f>
        <v/>
      </c>
      <c r="H2531">
        <f>G2531-MIN(F2531,G2531)</f>
        <v/>
      </c>
      <c r="I2531">
        <f>MIN(F2531-MIN(F2531,G2531),D2531)</f>
        <v/>
      </c>
      <c r="J2531">
        <f>D2531-I2531</f>
        <v/>
      </c>
      <c r="K2531">
        <f>F2531-MIN(F2531,G2531)-I2531</f>
        <v/>
      </c>
    </row>
    <row r="2532">
      <c r="A2532" s="21">
        <f>IF(Rechner!$E$4&lt;&gt;"ok","",IF(Rechner!$E$5+2530&lt;=Rechner!$B$6,Rechner!$E$5+2530,""))</f>
        <v/>
      </c>
      <c r="B2532">
        <f>IF(A2532="","",LOOKUP(A2532,Basiszins!$A$5:$A$18,Basiszins!$B$5:$B$18))</f>
        <v/>
      </c>
      <c r="C2532">
        <f>IF(A2532="","",B2532+Rechner!$E$7)</f>
        <v/>
      </c>
      <c r="D2532">
        <f>J2531</f>
        <v/>
      </c>
      <c r="E2532">
        <f>IF(A2532="",0,D2532*C2532/100/(DATE(YEAR(A2532)+1,1,1)-DATE(YEAR(A2532),1,1)))</f>
        <v/>
      </c>
      <c r="F2532">
        <f>IF(A2532="",0,SUMIF(Rechner!$A$12:$A$21,A2532,Rechner!$B$12:$B$21))</f>
        <v/>
      </c>
      <c r="G2532">
        <f>H2531+E2532</f>
        <v/>
      </c>
      <c r="H2532">
        <f>G2532-MIN(F2532,G2532)</f>
        <v/>
      </c>
      <c r="I2532">
        <f>MIN(F2532-MIN(F2532,G2532),D2532)</f>
        <v/>
      </c>
      <c r="J2532">
        <f>D2532-I2532</f>
        <v/>
      </c>
      <c r="K2532">
        <f>F2532-MIN(F2532,G2532)-I2532</f>
        <v/>
      </c>
    </row>
    <row r="2533">
      <c r="A2533" s="21">
        <f>IF(Rechner!$E$4&lt;&gt;"ok","",IF(Rechner!$E$5+2531&lt;=Rechner!$B$6,Rechner!$E$5+2531,""))</f>
        <v/>
      </c>
      <c r="B2533">
        <f>IF(A2533="","",LOOKUP(A2533,Basiszins!$A$5:$A$18,Basiszins!$B$5:$B$18))</f>
        <v/>
      </c>
      <c r="C2533">
        <f>IF(A2533="","",B2533+Rechner!$E$7)</f>
        <v/>
      </c>
      <c r="D2533">
        <f>J2532</f>
        <v/>
      </c>
      <c r="E2533">
        <f>IF(A2533="",0,D2533*C2533/100/(DATE(YEAR(A2533)+1,1,1)-DATE(YEAR(A2533),1,1)))</f>
        <v/>
      </c>
      <c r="F2533">
        <f>IF(A2533="",0,SUMIF(Rechner!$A$12:$A$21,A2533,Rechner!$B$12:$B$21))</f>
        <v/>
      </c>
      <c r="G2533">
        <f>H2532+E2533</f>
        <v/>
      </c>
      <c r="H2533">
        <f>G2533-MIN(F2533,G2533)</f>
        <v/>
      </c>
      <c r="I2533">
        <f>MIN(F2533-MIN(F2533,G2533),D2533)</f>
        <v/>
      </c>
      <c r="J2533">
        <f>D2533-I2533</f>
        <v/>
      </c>
      <c r="K2533">
        <f>F2533-MIN(F2533,G2533)-I2533</f>
        <v/>
      </c>
    </row>
    <row r="2534">
      <c r="A2534" s="21">
        <f>IF(Rechner!$E$4&lt;&gt;"ok","",IF(Rechner!$E$5+2532&lt;=Rechner!$B$6,Rechner!$E$5+2532,""))</f>
        <v/>
      </c>
      <c r="B2534">
        <f>IF(A2534="","",LOOKUP(A2534,Basiszins!$A$5:$A$18,Basiszins!$B$5:$B$18))</f>
        <v/>
      </c>
      <c r="C2534">
        <f>IF(A2534="","",B2534+Rechner!$E$7)</f>
        <v/>
      </c>
      <c r="D2534">
        <f>J2533</f>
        <v/>
      </c>
      <c r="E2534">
        <f>IF(A2534="",0,D2534*C2534/100/(DATE(YEAR(A2534)+1,1,1)-DATE(YEAR(A2534),1,1)))</f>
        <v/>
      </c>
      <c r="F2534">
        <f>IF(A2534="",0,SUMIF(Rechner!$A$12:$A$21,A2534,Rechner!$B$12:$B$21))</f>
        <v/>
      </c>
      <c r="G2534">
        <f>H2533+E2534</f>
        <v/>
      </c>
      <c r="H2534">
        <f>G2534-MIN(F2534,G2534)</f>
        <v/>
      </c>
      <c r="I2534">
        <f>MIN(F2534-MIN(F2534,G2534),D2534)</f>
        <v/>
      </c>
      <c r="J2534">
        <f>D2534-I2534</f>
        <v/>
      </c>
      <c r="K2534">
        <f>F2534-MIN(F2534,G2534)-I2534</f>
        <v/>
      </c>
    </row>
    <row r="2535">
      <c r="A2535" s="21">
        <f>IF(Rechner!$E$4&lt;&gt;"ok","",IF(Rechner!$E$5+2533&lt;=Rechner!$B$6,Rechner!$E$5+2533,""))</f>
        <v/>
      </c>
      <c r="B2535">
        <f>IF(A2535="","",LOOKUP(A2535,Basiszins!$A$5:$A$18,Basiszins!$B$5:$B$18))</f>
        <v/>
      </c>
      <c r="C2535">
        <f>IF(A2535="","",B2535+Rechner!$E$7)</f>
        <v/>
      </c>
      <c r="D2535">
        <f>J2534</f>
        <v/>
      </c>
      <c r="E2535">
        <f>IF(A2535="",0,D2535*C2535/100/(DATE(YEAR(A2535)+1,1,1)-DATE(YEAR(A2535),1,1)))</f>
        <v/>
      </c>
      <c r="F2535">
        <f>IF(A2535="",0,SUMIF(Rechner!$A$12:$A$21,A2535,Rechner!$B$12:$B$21))</f>
        <v/>
      </c>
      <c r="G2535">
        <f>H2534+E2535</f>
        <v/>
      </c>
      <c r="H2535">
        <f>G2535-MIN(F2535,G2535)</f>
        <v/>
      </c>
      <c r="I2535">
        <f>MIN(F2535-MIN(F2535,G2535),D2535)</f>
        <v/>
      </c>
      <c r="J2535">
        <f>D2535-I2535</f>
        <v/>
      </c>
      <c r="K2535">
        <f>F2535-MIN(F2535,G2535)-I2535</f>
        <v/>
      </c>
    </row>
    <row r="2536">
      <c r="A2536" s="21">
        <f>IF(Rechner!$E$4&lt;&gt;"ok","",IF(Rechner!$E$5+2534&lt;=Rechner!$B$6,Rechner!$E$5+2534,""))</f>
        <v/>
      </c>
      <c r="B2536">
        <f>IF(A2536="","",LOOKUP(A2536,Basiszins!$A$5:$A$18,Basiszins!$B$5:$B$18))</f>
        <v/>
      </c>
      <c r="C2536">
        <f>IF(A2536="","",B2536+Rechner!$E$7)</f>
        <v/>
      </c>
      <c r="D2536">
        <f>J2535</f>
        <v/>
      </c>
      <c r="E2536">
        <f>IF(A2536="",0,D2536*C2536/100/(DATE(YEAR(A2536)+1,1,1)-DATE(YEAR(A2536),1,1)))</f>
        <v/>
      </c>
      <c r="F2536">
        <f>IF(A2536="",0,SUMIF(Rechner!$A$12:$A$21,A2536,Rechner!$B$12:$B$21))</f>
        <v/>
      </c>
      <c r="G2536">
        <f>H2535+E2536</f>
        <v/>
      </c>
      <c r="H2536">
        <f>G2536-MIN(F2536,G2536)</f>
        <v/>
      </c>
      <c r="I2536">
        <f>MIN(F2536-MIN(F2536,G2536),D2536)</f>
        <v/>
      </c>
      <c r="J2536">
        <f>D2536-I2536</f>
        <v/>
      </c>
      <c r="K2536">
        <f>F2536-MIN(F2536,G2536)-I2536</f>
        <v/>
      </c>
    </row>
    <row r="2537">
      <c r="A2537" s="21">
        <f>IF(Rechner!$E$4&lt;&gt;"ok","",IF(Rechner!$E$5+2535&lt;=Rechner!$B$6,Rechner!$E$5+2535,""))</f>
        <v/>
      </c>
      <c r="B2537">
        <f>IF(A2537="","",LOOKUP(A2537,Basiszins!$A$5:$A$18,Basiszins!$B$5:$B$18))</f>
        <v/>
      </c>
      <c r="C2537">
        <f>IF(A2537="","",B2537+Rechner!$E$7)</f>
        <v/>
      </c>
      <c r="D2537">
        <f>J2536</f>
        <v/>
      </c>
      <c r="E2537">
        <f>IF(A2537="",0,D2537*C2537/100/(DATE(YEAR(A2537)+1,1,1)-DATE(YEAR(A2537),1,1)))</f>
        <v/>
      </c>
      <c r="F2537">
        <f>IF(A2537="",0,SUMIF(Rechner!$A$12:$A$21,A2537,Rechner!$B$12:$B$21))</f>
        <v/>
      </c>
      <c r="G2537">
        <f>H2536+E2537</f>
        <v/>
      </c>
      <c r="H2537">
        <f>G2537-MIN(F2537,G2537)</f>
        <v/>
      </c>
      <c r="I2537">
        <f>MIN(F2537-MIN(F2537,G2537),D2537)</f>
        <v/>
      </c>
      <c r="J2537">
        <f>D2537-I2537</f>
        <v/>
      </c>
      <c r="K2537">
        <f>F2537-MIN(F2537,G2537)-I2537</f>
        <v/>
      </c>
    </row>
    <row r="2538">
      <c r="A2538" s="21">
        <f>IF(Rechner!$E$4&lt;&gt;"ok","",IF(Rechner!$E$5+2536&lt;=Rechner!$B$6,Rechner!$E$5+2536,""))</f>
        <v/>
      </c>
      <c r="B2538">
        <f>IF(A2538="","",LOOKUP(A2538,Basiszins!$A$5:$A$18,Basiszins!$B$5:$B$18))</f>
        <v/>
      </c>
      <c r="C2538">
        <f>IF(A2538="","",B2538+Rechner!$E$7)</f>
        <v/>
      </c>
      <c r="D2538">
        <f>J2537</f>
        <v/>
      </c>
      <c r="E2538">
        <f>IF(A2538="",0,D2538*C2538/100/(DATE(YEAR(A2538)+1,1,1)-DATE(YEAR(A2538),1,1)))</f>
        <v/>
      </c>
      <c r="F2538">
        <f>IF(A2538="",0,SUMIF(Rechner!$A$12:$A$21,A2538,Rechner!$B$12:$B$21))</f>
        <v/>
      </c>
      <c r="G2538">
        <f>H2537+E2538</f>
        <v/>
      </c>
      <c r="H2538">
        <f>G2538-MIN(F2538,G2538)</f>
        <v/>
      </c>
      <c r="I2538">
        <f>MIN(F2538-MIN(F2538,G2538),D2538)</f>
        <v/>
      </c>
      <c r="J2538">
        <f>D2538-I2538</f>
        <v/>
      </c>
      <c r="K2538">
        <f>F2538-MIN(F2538,G2538)-I2538</f>
        <v/>
      </c>
    </row>
    <row r="2539">
      <c r="A2539" s="21">
        <f>IF(Rechner!$E$4&lt;&gt;"ok","",IF(Rechner!$E$5+2537&lt;=Rechner!$B$6,Rechner!$E$5+2537,""))</f>
        <v/>
      </c>
      <c r="B2539">
        <f>IF(A2539="","",LOOKUP(A2539,Basiszins!$A$5:$A$18,Basiszins!$B$5:$B$18))</f>
        <v/>
      </c>
      <c r="C2539">
        <f>IF(A2539="","",B2539+Rechner!$E$7)</f>
        <v/>
      </c>
      <c r="D2539">
        <f>J2538</f>
        <v/>
      </c>
      <c r="E2539">
        <f>IF(A2539="",0,D2539*C2539/100/(DATE(YEAR(A2539)+1,1,1)-DATE(YEAR(A2539),1,1)))</f>
        <v/>
      </c>
      <c r="F2539">
        <f>IF(A2539="",0,SUMIF(Rechner!$A$12:$A$21,A2539,Rechner!$B$12:$B$21))</f>
        <v/>
      </c>
      <c r="G2539">
        <f>H2538+E2539</f>
        <v/>
      </c>
      <c r="H2539">
        <f>G2539-MIN(F2539,G2539)</f>
        <v/>
      </c>
      <c r="I2539">
        <f>MIN(F2539-MIN(F2539,G2539),D2539)</f>
        <v/>
      </c>
      <c r="J2539">
        <f>D2539-I2539</f>
        <v/>
      </c>
      <c r="K2539">
        <f>F2539-MIN(F2539,G2539)-I2539</f>
        <v/>
      </c>
    </row>
    <row r="2540">
      <c r="A2540" s="21">
        <f>IF(Rechner!$E$4&lt;&gt;"ok","",IF(Rechner!$E$5+2538&lt;=Rechner!$B$6,Rechner!$E$5+2538,""))</f>
        <v/>
      </c>
      <c r="B2540">
        <f>IF(A2540="","",LOOKUP(A2540,Basiszins!$A$5:$A$18,Basiszins!$B$5:$B$18))</f>
        <v/>
      </c>
      <c r="C2540">
        <f>IF(A2540="","",B2540+Rechner!$E$7)</f>
        <v/>
      </c>
      <c r="D2540">
        <f>J2539</f>
        <v/>
      </c>
      <c r="E2540">
        <f>IF(A2540="",0,D2540*C2540/100/(DATE(YEAR(A2540)+1,1,1)-DATE(YEAR(A2540),1,1)))</f>
        <v/>
      </c>
      <c r="F2540">
        <f>IF(A2540="",0,SUMIF(Rechner!$A$12:$A$21,A2540,Rechner!$B$12:$B$21))</f>
        <v/>
      </c>
      <c r="G2540">
        <f>H2539+E2540</f>
        <v/>
      </c>
      <c r="H2540">
        <f>G2540-MIN(F2540,G2540)</f>
        <v/>
      </c>
      <c r="I2540">
        <f>MIN(F2540-MIN(F2540,G2540),D2540)</f>
        <v/>
      </c>
      <c r="J2540">
        <f>D2540-I2540</f>
        <v/>
      </c>
      <c r="K2540">
        <f>F2540-MIN(F2540,G2540)-I2540</f>
        <v/>
      </c>
    </row>
    <row r="2541">
      <c r="A2541" s="21">
        <f>IF(Rechner!$E$4&lt;&gt;"ok","",IF(Rechner!$E$5+2539&lt;=Rechner!$B$6,Rechner!$E$5+2539,""))</f>
        <v/>
      </c>
      <c r="B2541">
        <f>IF(A2541="","",LOOKUP(A2541,Basiszins!$A$5:$A$18,Basiszins!$B$5:$B$18))</f>
        <v/>
      </c>
      <c r="C2541">
        <f>IF(A2541="","",B2541+Rechner!$E$7)</f>
        <v/>
      </c>
      <c r="D2541">
        <f>J2540</f>
        <v/>
      </c>
      <c r="E2541">
        <f>IF(A2541="",0,D2541*C2541/100/(DATE(YEAR(A2541)+1,1,1)-DATE(YEAR(A2541),1,1)))</f>
        <v/>
      </c>
      <c r="F2541">
        <f>IF(A2541="",0,SUMIF(Rechner!$A$12:$A$21,A2541,Rechner!$B$12:$B$21))</f>
        <v/>
      </c>
      <c r="G2541">
        <f>H2540+E2541</f>
        <v/>
      </c>
      <c r="H2541">
        <f>G2541-MIN(F2541,G2541)</f>
        <v/>
      </c>
      <c r="I2541">
        <f>MIN(F2541-MIN(F2541,G2541),D2541)</f>
        <v/>
      </c>
      <c r="J2541">
        <f>D2541-I2541</f>
        <v/>
      </c>
      <c r="K2541">
        <f>F2541-MIN(F2541,G2541)-I2541</f>
        <v/>
      </c>
    </row>
    <row r="2542">
      <c r="A2542" s="21">
        <f>IF(Rechner!$E$4&lt;&gt;"ok","",IF(Rechner!$E$5+2540&lt;=Rechner!$B$6,Rechner!$E$5+2540,""))</f>
        <v/>
      </c>
      <c r="B2542">
        <f>IF(A2542="","",LOOKUP(A2542,Basiszins!$A$5:$A$18,Basiszins!$B$5:$B$18))</f>
        <v/>
      </c>
      <c r="C2542">
        <f>IF(A2542="","",B2542+Rechner!$E$7)</f>
        <v/>
      </c>
      <c r="D2542">
        <f>J2541</f>
        <v/>
      </c>
      <c r="E2542">
        <f>IF(A2542="",0,D2542*C2542/100/(DATE(YEAR(A2542)+1,1,1)-DATE(YEAR(A2542),1,1)))</f>
        <v/>
      </c>
      <c r="F2542">
        <f>IF(A2542="",0,SUMIF(Rechner!$A$12:$A$21,A2542,Rechner!$B$12:$B$21))</f>
        <v/>
      </c>
      <c r="G2542">
        <f>H2541+E2542</f>
        <v/>
      </c>
      <c r="H2542">
        <f>G2542-MIN(F2542,G2542)</f>
        <v/>
      </c>
      <c r="I2542">
        <f>MIN(F2542-MIN(F2542,G2542),D2542)</f>
        <v/>
      </c>
      <c r="J2542">
        <f>D2542-I2542</f>
        <v/>
      </c>
      <c r="K2542">
        <f>F2542-MIN(F2542,G2542)-I2542</f>
        <v/>
      </c>
    </row>
    <row r="2543">
      <c r="A2543" s="21">
        <f>IF(Rechner!$E$4&lt;&gt;"ok","",IF(Rechner!$E$5+2541&lt;=Rechner!$B$6,Rechner!$E$5+2541,""))</f>
        <v/>
      </c>
      <c r="B2543">
        <f>IF(A2543="","",LOOKUP(A2543,Basiszins!$A$5:$A$18,Basiszins!$B$5:$B$18))</f>
        <v/>
      </c>
      <c r="C2543">
        <f>IF(A2543="","",B2543+Rechner!$E$7)</f>
        <v/>
      </c>
      <c r="D2543">
        <f>J2542</f>
        <v/>
      </c>
      <c r="E2543">
        <f>IF(A2543="",0,D2543*C2543/100/(DATE(YEAR(A2543)+1,1,1)-DATE(YEAR(A2543),1,1)))</f>
        <v/>
      </c>
      <c r="F2543">
        <f>IF(A2543="",0,SUMIF(Rechner!$A$12:$A$21,A2543,Rechner!$B$12:$B$21))</f>
        <v/>
      </c>
      <c r="G2543">
        <f>H2542+E2543</f>
        <v/>
      </c>
      <c r="H2543">
        <f>G2543-MIN(F2543,G2543)</f>
        <v/>
      </c>
      <c r="I2543">
        <f>MIN(F2543-MIN(F2543,G2543),D2543)</f>
        <v/>
      </c>
      <c r="J2543">
        <f>D2543-I2543</f>
        <v/>
      </c>
      <c r="K2543">
        <f>F2543-MIN(F2543,G2543)-I2543</f>
        <v/>
      </c>
    </row>
    <row r="2544">
      <c r="A2544" s="21">
        <f>IF(Rechner!$E$4&lt;&gt;"ok","",IF(Rechner!$E$5+2542&lt;=Rechner!$B$6,Rechner!$E$5+2542,""))</f>
        <v/>
      </c>
      <c r="B2544">
        <f>IF(A2544="","",LOOKUP(A2544,Basiszins!$A$5:$A$18,Basiszins!$B$5:$B$18))</f>
        <v/>
      </c>
      <c r="C2544">
        <f>IF(A2544="","",B2544+Rechner!$E$7)</f>
        <v/>
      </c>
      <c r="D2544">
        <f>J2543</f>
        <v/>
      </c>
      <c r="E2544">
        <f>IF(A2544="",0,D2544*C2544/100/(DATE(YEAR(A2544)+1,1,1)-DATE(YEAR(A2544),1,1)))</f>
        <v/>
      </c>
      <c r="F2544">
        <f>IF(A2544="",0,SUMIF(Rechner!$A$12:$A$21,A2544,Rechner!$B$12:$B$21))</f>
        <v/>
      </c>
      <c r="G2544">
        <f>H2543+E2544</f>
        <v/>
      </c>
      <c r="H2544">
        <f>G2544-MIN(F2544,G2544)</f>
        <v/>
      </c>
      <c r="I2544">
        <f>MIN(F2544-MIN(F2544,G2544),D2544)</f>
        <v/>
      </c>
      <c r="J2544">
        <f>D2544-I2544</f>
        <v/>
      </c>
      <c r="K2544">
        <f>F2544-MIN(F2544,G2544)-I2544</f>
        <v/>
      </c>
    </row>
    <row r="2545">
      <c r="A2545" s="21">
        <f>IF(Rechner!$E$4&lt;&gt;"ok","",IF(Rechner!$E$5+2543&lt;=Rechner!$B$6,Rechner!$E$5+2543,""))</f>
        <v/>
      </c>
      <c r="B2545">
        <f>IF(A2545="","",LOOKUP(A2545,Basiszins!$A$5:$A$18,Basiszins!$B$5:$B$18))</f>
        <v/>
      </c>
      <c r="C2545">
        <f>IF(A2545="","",B2545+Rechner!$E$7)</f>
        <v/>
      </c>
      <c r="D2545">
        <f>J2544</f>
        <v/>
      </c>
      <c r="E2545">
        <f>IF(A2545="",0,D2545*C2545/100/(DATE(YEAR(A2545)+1,1,1)-DATE(YEAR(A2545),1,1)))</f>
        <v/>
      </c>
      <c r="F2545">
        <f>IF(A2545="",0,SUMIF(Rechner!$A$12:$A$21,A2545,Rechner!$B$12:$B$21))</f>
        <v/>
      </c>
      <c r="G2545">
        <f>H2544+E2545</f>
        <v/>
      </c>
      <c r="H2545">
        <f>G2545-MIN(F2545,G2545)</f>
        <v/>
      </c>
      <c r="I2545">
        <f>MIN(F2545-MIN(F2545,G2545),D2545)</f>
        <v/>
      </c>
      <c r="J2545">
        <f>D2545-I2545</f>
        <v/>
      </c>
      <c r="K2545">
        <f>F2545-MIN(F2545,G2545)-I2545</f>
        <v/>
      </c>
    </row>
    <row r="2546">
      <c r="A2546" s="21">
        <f>IF(Rechner!$E$4&lt;&gt;"ok","",IF(Rechner!$E$5+2544&lt;=Rechner!$B$6,Rechner!$E$5+2544,""))</f>
        <v/>
      </c>
      <c r="B2546">
        <f>IF(A2546="","",LOOKUP(A2546,Basiszins!$A$5:$A$18,Basiszins!$B$5:$B$18))</f>
        <v/>
      </c>
      <c r="C2546">
        <f>IF(A2546="","",B2546+Rechner!$E$7)</f>
        <v/>
      </c>
      <c r="D2546">
        <f>J2545</f>
        <v/>
      </c>
      <c r="E2546">
        <f>IF(A2546="",0,D2546*C2546/100/(DATE(YEAR(A2546)+1,1,1)-DATE(YEAR(A2546),1,1)))</f>
        <v/>
      </c>
      <c r="F2546">
        <f>IF(A2546="",0,SUMIF(Rechner!$A$12:$A$21,A2546,Rechner!$B$12:$B$21))</f>
        <v/>
      </c>
      <c r="G2546">
        <f>H2545+E2546</f>
        <v/>
      </c>
      <c r="H2546">
        <f>G2546-MIN(F2546,G2546)</f>
        <v/>
      </c>
      <c r="I2546">
        <f>MIN(F2546-MIN(F2546,G2546),D2546)</f>
        <v/>
      </c>
      <c r="J2546">
        <f>D2546-I2546</f>
        <v/>
      </c>
      <c r="K2546">
        <f>F2546-MIN(F2546,G2546)-I2546</f>
        <v/>
      </c>
    </row>
    <row r="2547">
      <c r="A2547" s="21">
        <f>IF(Rechner!$E$4&lt;&gt;"ok","",IF(Rechner!$E$5+2545&lt;=Rechner!$B$6,Rechner!$E$5+2545,""))</f>
        <v/>
      </c>
      <c r="B2547">
        <f>IF(A2547="","",LOOKUP(A2547,Basiszins!$A$5:$A$18,Basiszins!$B$5:$B$18))</f>
        <v/>
      </c>
      <c r="C2547">
        <f>IF(A2547="","",B2547+Rechner!$E$7)</f>
        <v/>
      </c>
      <c r="D2547">
        <f>J2546</f>
        <v/>
      </c>
      <c r="E2547">
        <f>IF(A2547="",0,D2547*C2547/100/(DATE(YEAR(A2547)+1,1,1)-DATE(YEAR(A2547),1,1)))</f>
        <v/>
      </c>
      <c r="F2547">
        <f>IF(A2547="",0,SUMIF(Rechner!$A$12:$A$21,A2547,Rechner!$B$12:$B$21))</f>
        <v/>
      </c>
      <c r="G2547">
        <f>H2546+E2547</f>
        <v/>
      </c>
      <c r="H2547">
        <f>G2547-MIN(F2547,G2547)</f>
        <v/>
      </c>
      <c r="I2547">
        <f>MIN(F2547-MIN(F2547,G2547),D2547)</f>
        <v/>
      </c>
      <c r="J2547">
        <f>D2547-I2547</f>
        <v/>
      </c>
      <c r="K2547">
        <f>F2547-MIN(F2547,G2547)-I2547</f>
        <v/>
      </c>
    </row>
    <row r="2548">
      <c r="A2548" s="21">
        <f>IF(Rechner!$E$4&lt;&gt;"ok","",IF(Rechner!$E$5+2546&lt;=Rechner!$B$6,Rechner!$E$5+2546,""))</f>
        <v/>
      </c>
      <c r="B2548">
        <f>IF(A2548="","",LOOKUP(A2548,Basiszins!$A$5:$A$18,Basiszins!$B$5:$B$18))</f>
        <v/>
      </c>
      <c r="C2548">
        <f>IF(A2548="","",B2548+Rechner!$E$7)</f>
        <v/>
      </c>
      <c r="D2548">
        <f>J2547</f>
        <v/>
      </c>
      <c r="E2548">
        <f>IF(A2548="",0,D2548*C2548/100/(DATE(YEAR(A2548)+1,1,1)-DATE(YEAR(A2548),1,1)))</f>
        <v/>
      </c>
      <c r="F2548">
        <f>IF(A2548="",0,SUMIF(Rechner!$A$12:$A$21,A2548,Rechner!$B$12:$B$21))</f>
        <v/>
      </c>
      <c r="G2548">
        <f>H2547+E2548</f>
        <v/>
      </c>
      <c r="H2548">
        <f>G2548-MIN(F2548,G2548)</f>
        <v/>
      </c>
      <c r="I2548">
        <f>MIN(F2548-MIN(F2548,G2548),D2548)</f>
        <v/>
      </c>
      <c r="J2548">
        <f>D2548-I2548</f>
        <v/>
      </c>
      <c r="K2548">
        <f>F2548-MIN(F2548,G2548)-I2548</f>
        <v/>
      </c>
    </row>
    <row r="2549">
      <c r="A2549" s="21">
        <f>IF(Rechner!$E$4&lt;&gt;"ok","",IF(Rechner!$E$5+2547&lt;=Rechner!$B$6,Rechner!$E$5+2547,""))</f>
        <v/>
      </c>
      <c r="B2549">
        <f>IF(A2549="","",LOOKUP(A2549,Basiszins!$A$5:$A$18,Basiszins!$B$5:$B$18))</f>
        <v/>
      </c>
      <c r="C2549">
        <f>IF(A2549="","",B2549+Rechner!$E$7)</f>
        <v/>
      </c>
      <c r="D2549">
        <f>J2548</f>
        <v/>
      </c>
      <c r="E2549">
        <f>IF(A2549="",0,D2549*C2549/100/(DATE(YEAR(A2549)+1,1,1)-DATE(YEAR(A2549),1,1)))</f>
        <v/>
      </c>
      <c r="F2549">
        <f>IF(A2549="",0,SUMIF(Rechner!$A$12:$A$21,A2549,Rechner!$B$12:$B$21))</f>
        <v/>
      </c>
      <c r="G2549">
        <f>H2548+E2549</f>
        <v/>
      </c>
      <c r="H2549">
        <f>G2549-MIN(F2549,G2549)</f>
        <v/>
      </c>
      <c r="I2549">
        <f>MIN(F2549-MIN(F2549,G2549),D2549)</f>
        <v/>
      </c>
      <c r="J2549">
        <f>D2549-I2549</f>
        <v/>
      </c>
      <c r="K2549">
        <f>F2549-MIN(F2549,G2549)-I2549</f>
        <v/>
      </c>
    </row>
    <row r="2550">
      <c r="A2550" s="21">
        <f>IF(Rechner!$E$4&lt;&gt;"ok","",IF(Rechner!$E$5+2548&lt;=Rechner!$B$6,Rechner!$E$5+2548,""))</f>
        <v/>
      </c>
      <c r="B2550">
        <f>IF(A2550="","",LOOKUP(A2550,Basiszins!$A$5:$A$18,Basiszins!$B$5:$B$18))</f>
        <v/>
      </c>
      <c r="C2550">
        <f>IF(A2550="","",B2550+Rechner!$E$7)</f>
        <v/>
      </c>
      <c r="D2550">
        <f>J2549</f>
        <v/>
      </c>
      <c r="E2550">
        <f>IF(A2550="",0,D2550*C2550/100/(DATE(YEAR(A2550)+1,1,1)-DATE(YEAR(A2550),1,1)))</f>
        <v/>
      </c>
      <c r="F2550">
        <f>IF(A2550="",0,SUMIF(Rechner!$A$12:$A$21,A2550,Rechner!$B$12:$B$21))</f>
        <v/>
      </c>
      <c r="G2550">
        <f>H2549+E2550</f>
        <v/>
      </c>
      <c r="H2550">
        <f>G2550-MIN(F2550,G2550)</f>
        <v/>
      </c>
      <c r="I2550">
        <f>MIN(F2550-MIN(F2550,G2550),D2550)</f>
        <v/>
      </c>
      <c r="J2550">
        <f>D2550-I2550</f>
        <v/>
      </c>
      <c r="K2550">
        <f>F2550-MIN(F2550,G2550)-I2550</f>
        <v/>
      </c>
    </row>
    <row r="2551">
      <c r="A2551" s="21">
        <f>IF(Rechner!$E$4&lt;&gt;"ok","",IF(Rechner!$E$5+2549&lt;=Rechner!$B$6,Rechner!$E$5+2549,""))</f>
        <v/>
      </c>
      <c r="B2551">
        <f>IF(A2551="","",LOOKUP(A2551,Basiszins!$A$5:$A$18,Basiszins!$B$5:$B$18))</f>
        <v/>
      </c>
      <c r="C2551">
        <f>IF(A2551="","",B2551+Rechner!$E$7)</f>
        <v/>
      </c>
      <c r="D2551">
        <f>J2550</f>
        <v/>
      </c>
      <c r="E2551">
        <f>IF(A2551="",0,D2551*C2551/100/(DATE(YEAR(A2551)+1,1,1)-DATE(YEAR(A2551),1,1)))</f>
        <v/>
      </c>
      <c r="F2551">
        <f>IF(A2551="",0,SUMIF(Rechner!$A$12:$A$21,A2551,Rechner!$B$12:$B$21))</f>
        <v/>
      </c>
      <c r="G2551">
        <f>H2550+E2551</f>
        <v/>
      </c>
      <c r="H2551">
        <f>G2551-MIN(F2551,G2551)</f>
        <v/>
      </c>
      <c r="I2551">
        <f>MIN(F2551-MIN(F2551,G2551),D2551)</f>
        <v/>
      </c>
      <c r="J2551">
        <f>D2551-I2551</f>
        <v/>
      </c>
      <c r="K2551">
        <f>F2551-MIN(F2551,G2551)-I2551</f>
        <v/>
      </c>
    </row>
    <row r="2552">
      <c r="A2552" s="21">
        <f>IF(Rechner!$E$4&lt;&gt;"ok","",IF(Rechner!$E$5+2550&lt;=Rechner!$B$6,Rechner!$E$5+2550,""))</f>
        <v/>
      </c>
      <c r="B2552">
        <f>IF(A2552="","",LOOKUP(A2552,Basiszins!$A$5:$A$18,Basiszins!$B$5:$B$18))</f>
        <v/>
      </c>
      <c r="C2552">
        <f>IF(A2552="","",B2552+Rechner!$E$7)</f>
        <v/>
      </c>
      <c r="D2552">
        <f>J2551</f>
        <v/>
      </c>
      <c r="E2552">
        <f>IF(A2552="",0,D2552*C2552/100/(DATE(YEAR(A2552)+1,1,1)-DATE(YEAR(A2552),1,1)))</f>
        <v/>
      </c>
      <c r="F2552">
        <f>IF(A2552="",0,SUMIF(Rechner!$A$12:$A$21,A2552,Rechner!$B$12:$B$21))</f>
        <v/>
      </c>
      <c r="G2552">
        <f>H2551+E2552</f>
        <v/>
      </c>
      <c r="H2552">
        <f>G2552-MIN(F2552,G2552)</f>
        <v/>
      </c>
      <c r="I2552">
        <f>MIN(F2552-MIN(F2552,G2552),D2552)</f>
        <v/>
      </c>
      <c r="J2552">
        <f>D2552-I2552</f>
        <v/>
      </c>
      <c r="K2552">
        <f>F2552-MIN(F2552,G2552)-I2552</f>
        <v/>
      </c>
    </row>
    <row r="2553">
      <c r="A2553" s="21">
        <f>IF(Rechner!$E$4&lt;&gt;"ok","",IF(Rechner!$E$5+2551&lt;=Rechner!$B$6,Rechner!$E$5+2551,""))</f>
        <v/>
      </c>
      <c r="B2553">
        <f>IF(A2553="","",LOOKUP(A2553,Basiszins!$A$5:$A$18,Basiszins!$B$5:$B$18))</f>
        <v/>
      </c>
      <c r="C2553">
        <f>IF(A2553="","",B2553+Rechner!$E$7)</f>
        <v/>
      </c>
      <c r="D2553">
        <f>J2552</f>
        <v/>
      </c>
      <c r="E2553">
        <f>IF(A2553="",0,D2553*C2553/100/(DATE(YEAR(A2553)+1,1,1)-DATE(YEAR(A2553),1,1)))</f>
        <v/>
      </c>
      <c r="F2553">
        <f>IF(A2553="",0,SUMIF(Rechner!$A$12:$A$21,A2553,Rechner!$B$12:$B$21))</f>
        <v/>
      </c>
      <c r="G2553">
        <f>H2552+E2553</f>
        <v/>
      </c>
      <c r="H2553">
        <f>G2553-MIN(F2553,G2553)</f>
        <v/>
      </c>
      <c r="I2553">
        <f>MIN(F2553-MIN(F2553,G2553),D2553)</f>
        <v/>
      </c>
      <c r="J2553">
        <f>D2553-I2553</f>
        <v/>
      </c>
      <c r="K2553">
        <f>F2553-MIN(F2553,G2553)-I2553</f>
        <v/>
      </c>
    </row>
    <row r="2554">
      <c r="A2554" s="21">
        <f>IF(Rechner!$E$4&lt;&gt;"ok","",IF(Rechner!$E$5+2552&lt;=Rechner!$B$6,Rechner!$E$5+2552,""))</f>
        <v/>
      </c>
      <c r="B2554">
        <f>IF(A2554="","",LOOKUP(A2554,Basiszins!$A$5:$A$18,Basiszins!$B$5:$B$18))</f>
        <v/>
      </c>
      <c r="C2554">
        <f>IF(A2554="","",B2554+Rechner!$E$7)</f>
        <v/>
      </c>
      <c r="D2554">
        <f>J2553</f>
        <v/>
      </c>
      <c r="E2554">
        <f>IF(A2554="",0,D2554*C2554/100/(DATE(YEAR(A2554)+1,1,1)-DATE(YEAR(A2554),1,1)))</f>
        <v/>
      </c>
      <c r="F2554">
        <f>IF(A2554="",0,SUMIF(Rechner!$A$12:$A$21,A2554,Rechner!$B$12:$B$21))</f>
        <v/>
      </c>
      <c r="G2554">
        <f>H2553+E2554</f>
        <v/>
      </c>
      <c r="H2554">
        <f>G2554-MIN(F2554,G2554)</f>
        <v/>
      </c>
      <c r="I2554">
        <f>MIN(F2554-MIN(F2554,G2554),D2554)</f>
        <v/>
      </c>
      <c r="J2554">
        <f>D2554-I2554</f>
        <v/>
      </c>
      <c r="K2554">
        <f>F2554-MIN(F2554,G2554)-I2554</f>
        <v/>
      </c>
    </row>
    <row r="2555">
      <c r="A2555" s="21">
        <f>IF(Rechner!$E$4&lt;&gt;"ok","",IF(Rechner!$E$5+2553&lt;=Rechner!$B$6,Rechner!$E$5+2553,""))</f>
        <v/>
      </c>
      <c r="B2555">
        <f>IF(A2555="","",LOOKUP(A2555,Basiszins!$A$5:$A$18,Basiszins!$B$5:$B$18))</f>
        <v/>
      </c>
      <c r="C2555">
        <f>IF(A2555="","",B2555+Rechner!$E$7)</f>
        <v/>
      </c>
      <c r="D2555">
        <f>J2554</f>
        <v/>
      </c>
      <c r="E2555">
        <f>IF(A2555="",0,D2555*C2555/100/(DATE(YEAR(A2555)+1,1,1)-DATE(YEAR(A2555),1,1)))</f>
        <v/>
      </c>
      <c r="F2555">
        <f>IF(A2555="",0,SUMIF(Rechner!$A$12:$A$21,A2555,Rechner!$B$12:$B$21))</f>
        <v/>
      </c>
      <c r="G2555">
        <f>H2554+E2555</f>
        <v/>
      </c>
      <c r="H2555">
        <f>G2555-MIN(F2555,G2555)</f>
        <v/>
      </c>
      <c r="I2555">
        <f>MIN(F2555-MIN(F2555,G2555),D2555)</f>
        <v/>
      </c>
      <c r="J2555">
        <f>D2555-I2555</f>
        <v/>
      </c>
      <c r="K2555">
        <f>F2555-MIN(F2555,G2555)-I2555</f>
        <v/>
      </c>
    </row>
    <row r="2556">
      <c r="A2556" s="21">
        <f>IF(Rechner!$E$4&lt;&gt;"ok","",IF(Rechner!$E$5+2554&lt;=Rechner!$B$6,Rechner!$E$5+2554,""))</f>
        <v/>
      </c>
      <c r="B2556">
        <f>IF(A2556="","",LOOKUP(A2556,Basiszins!$A$5:$A$18,Basiszins!$B$5:$B$18))</f>
        <v/>
      </c>
      <c r="C2556">
        <f>IF(A2556="","",B2556+Rechner!$E$7)</f>
        <v/>
      </c>
      <c r="D2556">
        <f>J2555</f>
        <v/>
      </c>
      <c r="E2556">
        <f>IF(A2556="",0,D2556*C2556/100/(DATE(YEAR(A2556)+1,1,1)-DATE(YEAR(A2556),1,1)))</f>
        <v/>
      </c>
      <c r="F2556">
        <f>IF(A2556="",0,SUMIF(Rechner!$A$12:$A$21,A2556,Rechner!$B$12:$B$21))</f>
        <v/>
      </c>
      <c r="G2556">
        <f>H2555+E2556</f>
        <v/>
      </c>
      <c r="H2556">
        <f>G2556-MIN(F2556,G2556)</f>
        <v/>
      </c>
      <c r="I2556">
        <f>MIN(F2556-MIN(F2556,G2556),D2556)</f>
        <v/>
      </c>
      <c r="J2556">
        <f>D2556-I2556</f>
        <v/>
      </c>
      <c r="K2556">
        <f>F2556-MIN(F2556,G2556)-I2556</f>
        <v/>
      </c>
    </row>
    <row r="2557">
      <c r="A2557" s="21">
        <f>IF(Rechner!$E$4&lt;&gt;"ok","",IF(Rechner!$E$5+2555&lt;=Rechner!$B$6,Rechner!$E$5+2555,""))</f>
        <v/>
      </c>
      <c r="B2557">
        <f>IF(A2557="","",LOOKUP(A2557,Basiszins!$A$5:$A$18,Basiszins!$B$5:$B$18))</f>
        <v/>
      </c>
      <c r="C2557">
        <f>IF(A2557="","",B2557+Rechner!$E$7)</f>
        <v/>
      </c>
      <c r="D2557">
        <f>J2556</f>
        <v/>
      </c>
      <c r="E2557">
        <f>IF(A2557="",0,D2557*C2557/100/(DATE(YEAR(A2557)+1,1,1)-DATE(YEAR(A2557),1,1)))</f>
        <v/>
      </c>
      <c r="F2557">
        <f>IF(A2557="",0,SUMIF(Rechner!$A$12:$A$21,A2557,Rechner!$B$12:$B$21))</f>
        <v/>
      </c>
      <c r="G2557">
        <f>H2556+E2557</f>
        <v/>
      </c>
      <c r="H2557">
        <f>G2557-MIN(F2557,G2557)</f>
        <v/>
      </c>
      <c r="I2557">
        <f>MIN(F2557-MIN(F2557,G2557),D2557)</f>
        <v/>
      </c>
      <c r="J2557">
        <f>D2557-I2557</f>
        <v/>
      </c>
      <c r="K2557">
        <f>F2557-MIN(F2557,G2557)-I2557</f>
        <v/>
      </c>
    </row>
    <row r="2558">
      <c r="A2558" s="21">
        <f>IF(Rechner!$E$4&lt;&gt;"ok","",IF(Rechner!$E$5+2556&lt;=Rechner!$B$6,Rechner!$E$5+2556,""))</f>
        <v/>
      </c>
      <c r="B2558">
        <f>IF(A2558="","",LOOKUP(A2558,Basiszins!$A$5:$A$18,Basiszins!$B$5:$B$18))</f>
        <v/>
      </c>
      <c r="C2558">
        <f>IF(A2558="","",B2558+Rechner!$E$7)</f>
        <v/>
      </c>
      <c r="D2558">
        <f>J2557</f>
        <v/>
      </c>
      <c r="E2558">
        <f>IF(A2558="",0,D2558*C2558/100/(DATE(YEAR(A2558)+1,1,1)-DATE(YEAR(A2558),1,1)))</f>
        <v/>
      </c>
      <c r="F2558">
        <f>IF(A2558="",0,SUMIF(Rechner!$A$12:$A$21,A2558,Rechner!$B$12:$B$21))</f>
        <v/>
      </c>
      <c r="G2558">
        <f>H2557+E2558</f>
        <v/>
      </c>
      <c r="H2558">
        <f>G2558-MIN(F2558,G2558)</f>
        <v/>
      </c>
      <c r="I2558">
        <f>MIN(F2558-MIN(F2558,G2558),D2558)</f>
        <v/>
      </c>
      <c r="J2558">
        <f>D2558-I2558</f>
        <v/>
      </c>
      <c r="K2558">
        <f>F2558-MIN(F2558,G2558)-I2558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2026-09-23T09:06:24Z</dcterms:created>
  <dcterms:modified xmlns:dcterms="http://purl.org/dc/terms/" xmlns:xsi="http://www.w3.org/2001/XMLSchema-instance" xsi:type="dcterms:W3CDTF">2026-09-23T09:06:24Z</dcterms:modified>
</cp:coreProperties>
</file>